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010" activeTab="1"/>
  </bookViews>
  <sheets>
    <sheet name="Krycí list" sheetId="1" r:id="rId1"/>
    <sheet name="Rekapitulace" sheetId="2" r:id="rId2"/>
    <sheet name="Rozpocet" sheetId="3" r:id="rId3"/>
    <sheet name="Zdravotní_instalace" sheetId="4" r:id="rId4"/>
    <sheet name="Domovní_plynovod" sheetId="5" r:id="rId5"/>
    <sheet name="Vytápění" sheetId="6" r:id="rId6"/>
    <sheet name="ESI" sheetId="7" r:id="rId7"/>
    <sheet name="ESL" sheetId="8" r:id="rId8"/>
    <sheet name="#Figury" sheetId="9" state="hidden" r:id="rId9"/>
  </sheets>
  <externalReferences>
    <externalReference r:id="rId12"/>
    <externalReference r:id="rId13"/>
  </externalReferences>
  <definedNames>
    <definedName name="_xlnm._FilterDatabase" localSheetId="2" hidden="1">'Rozpocet'!$A$14:$N$626</definedName>
    <definedName name="Excel_BuiltIn_Print_Area" localSheetId="7">'ESL'!$A$14:$J$27</definedName>
    <definedName name="Excel_BuiltIn_Print_Area" localSheetId="5">'Vytápění'!$A$15:$E$115</definedName>
    <definedName name="Excel_BuiltIn_Print_Area_1_1">'Vytápění'!$A$15:$C$80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Titles" localSheetId="6">'ESI'!#REF!</definedName>
    <definedName name="Excel_BuiltIn_Print_Titles" localSheetId="7">'ESL'!#REF!</definedName>
    <definedName name="_xlnm.Print_Titles" localSheetId="6">'ESI'!$1:$12</definedName>
    <definedName name="_xlnm.Print_Titles" localSheetId="7">'ESL'!$1:$13</definedName>
    <definedName name="_xlnm.Print_Titles" localSheetId="2">'Rozpocet'!$1:$13</definedName>
    <definedName name="_xlnm.Print_Titles" localSheetId="5">'Vytápění'!$1:$12</definedName>
    <definedName name="_xlnm.Print_Titles" localSheetId="3">'Zdravotní_instalace'!$1:$12</definedName>
    <definedName name="_xlnm.Print_Area" localSheetId="6">'ESI'!$A$1:$J$101</definedName>
    <definedName name="_xlnm.Print_Area" localSheetId="7">'ESL'!$A$1:$J$33</definedName>
    <definedName name="_xlnm.Print_Area" localSheetId="5">'Vytápění'!$A$1:$E$113</definedName>
  </definedNames>
  <calcPr fullCalcOnLoad="1"/>
</workbook>
</file>

<file path=xl/sharedStrings.xml><?xml version="1.0" encoding="utf-8"?>
<sst xmlns="http://schemas.openxmlformats.org/spreadsheetml/2006/main" count="4506" uniqueCount="1572">
  <si>
    <t>KRYCÍ LIST ROZPOČTU</t>
  </si>
  <si>
    <t>Název stavby</t>
  </si>
  <si>
    <t>Podkrovní byty Dr. Zikmunda Wintra 432-8</t>
  </si>
  <si>
    <t>JKSO</t>
  </si>
  <si>
    <t xml:space="preserve"> </t>
  </si>
  <si>
    <t>Kód stavby</t>
  </si>
  <si>
    <t>R2015-02</t>
  </si>
  <si>
    <t>Název objektu</t>
  </si>
  <si>
    <t>EČO</t>
  </si>
  <si>
    <t>Kód objektu</t>
  </si>
  <si>
    <t>Název části</t>
  </si>
  <si>
    <t>Místo</t>
  </si>
  <si>
    <t>Praha 6 - Dejvice</t>
  </si>
  <si>
    <t>Kód části</t>
  </si>
  <si>
    <t>Název podčásti</t>
  </si>
  <si>
    <t>Kód podčásti</t>
  </si>
  <si>
    <t>IČ</t>
  </si>
  <si>
    <t>DIČ</t>
  </si>
  <si>
    <t>Objednatel</t>
  </si>
  <si>
    <t xml:space="preserve">Městská část Praha 6 </t>
  </si>
  <si>
    <t>Projektant</t>
  </si>
  <si>
    <t>INPAR s.r.o.</t>
  </si>
  <si>
    <t>Zhotovitel</t>
  </si>
  <si>
    <t>Rozpočet číslo</t>
  </si>
  <si>
    <t>Zpracoval</t>
  </si>
  <si>
    <t>Dne</t>
  </si>
  <si>
    <t>Ing. Novotná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</si>
  <si>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</si>
  <si>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</si>
  <si>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</si>
  <si>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</si>
  <si>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</si>
  <si>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</si>
  <si>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</si>
  <si>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</si>
  <si>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</si>
  <si>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</si>
  <si>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</si>
  <si>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</si>
  <si>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</si>
  <si>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</si>
  <si>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</si>
  <si>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</si>
  <si>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</si>
  <si>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</si>
  <si>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</si>
  <si>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</si>
  <si>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</si>
  <si>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</si>
  <si>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</si>
  <si>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</si>
  <si>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</si>
  <si>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</si>
  <si>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</si>
  <si>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</si>
  <si>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</si>
  <si>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</si>
  <si>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</si>
  <si>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</si>
  <si>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</si>
  <si>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</si>
  <si>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</si>
  <si>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</si>
  <si>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</si>
  <si>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</si>
  <si>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</si>
  <si>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</si>
  <si>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</si>
  <si>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</si>
  <si>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</si>
  <si>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</si>
  <si>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</si>
  <si>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</si>
  <si>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</si>
  <si>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</si>
  <si>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</si>
  <si>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</si>
  <si>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</si>
  <si>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</si>
  <si>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</si>
  <si>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</si>
  <si>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</si>
  <si>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</si>
  <si>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</si>
  <si>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</si>
  <si>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</si>
  <si>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</si>
  <si>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</si>
  <si>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</si>
  <si>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</si>
  <si>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</si>
  <si>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</si>
  <si>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</si>
  <si>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</si>
  <si>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</si>
  <si>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</si>
  <si>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</si>
  <si>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</si>
  <si>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</si>
  <si>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</si>
  <si>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</si>
  <si>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</si>
  <si>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</si>
  <si>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</si>
  <si>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</si>
  <si>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</si>
  <si>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</si>
  <si>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</si>
  <si>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 xml:space="preserve"> Svislé a kompletní konstrukce</t>
  </si>
  <si>
    <t>1</t>
  </si>
  <si>
    <t>K</t>
  </si>
  <si>
    <t>014</t>
  </si>
  <si>
    <t>310238211</t>
  </si>
  <si>
    <t>Zazdívka otvorů pl do 1 m2 ve zdivu nadzákladovém cihlami pálenými na MVC</t>
  </si>
  <si>
    <t>m3</t>
  </si>
  <si>
    <t>2</t>
  </si>
  <si>
    <t>-1</t>
  </si>
  <si>
    <t>310239211</t>
  </si>
  <si>
    <t>Zazdívka otvorů pl do 4 m2 ve zdivu nadzákladovém cihlami pálenými na MVC</t>
  </si>
  <si>
    <t>011</t>
  </si>
  <si>
    <t>311231117</t>
  </si>
  <si>
    <t>Zdivo nosné z cihel dl 290 mm pevnosti P 7 až 15 na SMS 10 MPa</t>
  </si>
  <si>
    <t>4</t>
  </si>
  <si>
    <t>311238114</t>
  </si>
  <si>
    <t>m2</t>
  </si>
  <si>
    <t>"mezi 2.2 a 2.3" 5,150*2,85</t>
  </si>
  <si>
    <t>5</t>
  </si>
  <si>
    <t>311238616</t>
  </si>
  <si>
    <t>6</t>
  </si>
  <si>
    <t>311272223</t>
  </si>
  <si>
    <t>7</t>
  </si>
  <si>
    <t>314231511</t>
  </si>
  <si>
    <t>Zdivo komínů nad střechou průduch do 150x150 na MC včetně spárování z cihel pálených dl 290 mm</t>
  </si>
  <si>
    <t xml:space="preserve">komín. tělesa uliční </t>
  </si>
  <si>
    <t>dvorní</t>
  </si>
  <si>
    <t>"od 21,98- 23,190" (0,89*0,565)-(0,265*0,59)*(23,19-21,98)</t>
  </si>
  <si>
    <t>8</t>
  </si>
  <si>
    <t>316381112</t>
  </si>
  <si>
    <t>Komínové krycí desky tl do 100 mm z betonu tř. C 12/15 až C 16/20 bez přesahů</t>
  </si>
  <si>
    <t>"23,190" (0,89*0,565)-(0,265*0,59)</t>
  </si>
  <si>
    <t>9</t>
  </si>
  <si>
    <t>317121102</t>
  </si>
  <si>
    <t>Montáž prefabrikovaných překladů pro světlost otvoru do 1800 mm</t>
  </si>
  <si>
    <t>kus</t>
  </si>
  <si>
    <t>"6.NP - dveřní otvor ve stávající bytové jednotce" 1</t>
  </si>
  <si>
    <t>10</t>
  </si>
  <si>
    <t>M</t>
  </si>
  <si>
    <t>MAT</t>
  </si>
  <si>
    <t>593406430</t>
  </si>
  <si>
    <t>11</t>
  </si>
  <si>
    <t>593407860</t>
  </si>
  <si>
    <t>12</t>
  </si>
  <si>
    <t>317142221</t>
  </si>
  <si>
    <t>13</t>
  </si>
  <si>
    <t>317941121</t>
  </si>
  <si>
    <t>Osazování ocelových válcovaných nosníků na zdivu I, IE, U, UE nebo L do č 12</t>
  </si>
  <si>
    <t>t</t>
  </si>
  <si>
    <t>L75/50/6 nebo  L75/75/6-překlady nade dveřmi v příčkách</t>
  </si>
  <si>
    <t>14</t>
  </si>
  <si>
    <t>133317520</t>
  </si>
  <si>
    <t>tyč ocelová L rovnoramenná, značka oceli S 235 JR, 75x75x6 mm</t>
  </si>
  <si>
    <t>15</t>
  </si>
  <si>
    <t>133806250</t>
  </si>
  <si>
    <t>tyč ocelová I, značka oceli S 235 JR, označení průřezu 140</t>
  </si>
  <si>
    <t>16</t>
  </si>
  <si>
    <t>345001</t>
  </si>
  <si>
    <t>Revize a případná oprava komínového tělesa (výměna poškozených cihel, omítka aj.)</t>
  </si>
  <si>
    <t>kpl</t>
  </si>
  <si>
    <t>18</t>
  </si>
  <si>
    <t>342272323</t>
  </si>
  <si>
    <t>Příčky tl 100 mm z pórobetonových přesných hladkých příčkovek objemové hmotnosti 500 kg/m3</t>
  </si>
  <si>
    <t>"byt č.2." 1,50*3,00+2,56*(3,15+1,90)/2*2+1,25*3,15+2,15*(4,05+2,60)/2+1,75*(3,10+2,60)/2-0,70*2,10*2-0,80*2,10</t>
  </si>
  <si>
    <t>19</t>
  </si>
  <si>
    <t>342272523</t>
  </si>
  <si>
    <t>Příčky tl 150 mm z pórobetonových přesných hladkých příčkovek objemové hmotnosti 500 kg/m3</t>
  </si>
  <si>
    <t>20</t>
  </si>
  <si>
    <t>346244353</t>
  </si>
  <si>
    <t>"čm.2.6" 0,90*0,20</t>
  </si>
  <si>
    <t>"čm.2.14" 1,70*0,60</t>
  </si>
  <si>
    <t>22</t>
  </si>
  <si>
    <t>346272111</t>
  </si>
  <si>
    <t>"skladba S5 -štítové stěny 7.NP u tepelné izolace tl.</t>
  </si>
  <si>
    <t>23</t>
  </si>
  <si>
    <t>346272113</t>
  </si>
  <si>
    <t>24</t>
  </si>
  <si>
    <t>346272115</t>
  </si>
  <si>
    <t>"skladba S5 a S1 -štítové stěny 6.NP u tepelné izolace tl.</t>
  </si>
  <si>
    <t>7.NP</t>
  </si>
  <si>
    <t>25</t>
  </si>
  <si>
    <t>346272116</t>
  </si>
  <si>
    <t>26</t>
  </si>
  <si>
    <t>349231821</t>
  </si>
  <si>
    <t>Přizdívka ostění s ozubem z cihel tl do 300 mm</t>
  </si>
  <si>
    <t>"čm.2.3" 0,45*(1,50+0,885)</t>
  </si>
  <si>
    <t>"čm. 2.2" (0,25+0,15)*1,50*4</t>
  </si>
  <si>
    <t>Vodorovné konstrukce</t>
  </si>
  <si>
    <t>27</t>
  </si>
  <si>
    <t>411354209</t>
  </si>
  <si>
    <t>Bednění stropů ztracené z hraněných trapézových vln v 30 mm plech lesklý tl 1,0 mm</t>
  </si>
  <si>
    <t>DSK</t>
  </si>
  <si>
    <t>28</t>
  </si>
  <si>
    <t>413231231</t>
  </si>
  <si>
    <t>Zazdívka zhlaví stropních trámů průřezu přes 40000 mm2</t>
  </si>
  <si>
    <t>29</t>
  </si>
  <si>
    <t>413232221</t>
  </si>
  <si>
    <t>Zazdívka zhlaví válcovaných nosníků v do 300 mm</t>
  </si>
  <si>
    <t>30</t>
  </si>
  <si>
    <t>413941121</t>
  </si>
  <si>
    <t>Osazování ocelových válcovaných nosníků stropů I, IE, U, UE nebo L do č.12</t>
  </si>
  <si>
    <t>31</t>
  </si>
  <si>
    <t>133354300</t>
  </si>
  <si>
    <t>tyč ocelová L nerovnoramenná, značka oceli S 235 JR 75x50x6 mm</t>
  </si>
  <si>
    <t>32</t>
  </si>
  <si>
    <t>33</t>
  </si>
  <si>
    <t>134809100</t>
  </si>
  <si>
    <t>tyč ocelová I, jakost S 235 JR označení průřezu 180</t>
  </si>
  <si>
    <t>34</t>
  </si>
  <si>
    <t>134809150</t>
  </si>
  <si>
    <t>tyč ocelová I, jakost S 235 JR označení průřezu 200</t>
  </si>
  <si>
    <t>35</t>
  </si>
  <si>
    <t>417321515</t>
  </si>
  <si>
    <t>Ztužující pásy a věnce ze ŽB tř. C 25/30</t>
  </si>
  <si>
    <t>zalití překladů nade dveřmi v příčkách (bez bednění"</t>
  </si>
  <si>
    <t>36</t>
  </si>
  <si>
    <t>417351115</t>
  </si>
  <si>
    <t>Zřízení bednění ztužujících věnců</t>
  </si>
  <si>
    <t>37</t>
  </si>
  <si>
    <t>417351116</t>
  </si>
  <si>
    <t>Odstranění bednění ztužujících věnců</t>
  </si>
  <si>
    <t>38</t>
  </si>
  <si>
    <t>417361821</t>
  </si>
  <si>
    <t>Výztuž ztužujících pásů a věnců betonářskou ocelí 10 505</t>
  </si>
  <si>
    <t>Úpravy povrchů, podlahy a osazování výplní</t>
  </si>
  <si>
    <t>39</t>
  </si>
  <si>
    <t>612142001</t>
  </si>
  <si>
    <t>Potažení vnitřních stěn sklovláknitým pletivem vtlačeným do tenkovrstvé hmoty</t>
  </si>
  <si>
    <t>40</t>
  </si>
  <si>
    <t>612311131</t>
  </si>
  <si>
    <t>Vápenná omítka štuková jednovrstvá vnitřních stěn nanášená ručně</t>
  </si>
  <si>
    <t>"čm.2.1" (4,50+1,69)*2,75-(1,0+0,90+0,80)*2,10-0,95*2,75</t>
  </si>
  <si>
    <t>"čm.2.2" (5,16+1,10)*2,75-0,80*2,10</t>
  </si>
  <si>
    <t>"čm.2.3" (5,16+3,65)*2,75</t>
  </si>
  <si>
    <t>"čm.2.4 a 2.8" (1,0+4,35+1,90+1,15+4,0)*2,75-(1,60+0,7*2+0,80+1,00)*2,10</t>
  </si>
  <si>
    <t>"čm.2.5" (1,17+1,2*2)*(2,75-1,20)-0,70*(2,75-2,10)</t>
  </si>
  <si>
    <t>"čm.2.6" (1,68+2,80*2)*(2,75-2,00)</t>
  </si>
  <si>
    <t>"čm.2.7" 5,21*(1,20+4,45)/2</t>
  </si>
  <si>
    <t>"čm.2.10" (1,45+4,30+1,40+4,00)*2,60-0,70*2,10*2-0,80*2,10</t>
  </si>
  <si>
    <t>"čm.2.11" 0,26*2,50+4,35*(1,56+3,15)/2-0,80*2,10</t>
  </si>
  <si>
    <t>"čm.2.13" 1,85*2,50+3,00*(2,15+1,30)/2</t>
  </si>
  <si>
    <t>"čm.2.14" (3,00*2+3,87+0,305*2)*0,85/2</t>
  </si>
  <si>
    <t>"čm.2.15" (1,73+1,265)*2*(2,715-1,20)</t>
  </si>
  <si>
    <t>41</t>
  </si>
  <si>
    <t>612321121</t>
  </si>
  <si>
    <t>Vápenocementová omítka hladká jednovrstvá vnitřních stěn nanášená ručně</t>
  </si>
  <si>
    <t>"čm.2.5" (1,17+1,2)*2*1,20-0,70*1,20</t>
  </si>
  <si>
    <t>"čm.2.6" (1,68+2,80)*2*2,00-0,70*2,00</t>
  </si>
  <si>
    <t>"čm.2.14" (3,00*2+3,87+0,305*2)*2,00-0,70*2,0</t>
  </si>
  <si>
    <t>"čm.2.15" (1,73+1,265)*2*1,20</t>
  </si>
  <si>
    <t>42</t>
  </si>
  <si>
    <t>612321141</t>
  </si>
  <si>
    <t>Vápenocementová omítka štuková dvouvrstvá vnitřních stěn nanášená ručně</t>
  </si>
  <si>
    <t>"čm.2.1" 4,50*2,75-0,80*2,10</t>
  </si>
  <si>
    <t>"čm.2.2" (5,16+5,00*2-1,10)*2,75-1,30*1,50*2</t>
  </si>
  <si>
    <t>"čm.2.3" (3,635*2+1,31)*2,75-1,0*2,10-2,05*1,50</t>
  </si>
  <si>
    <t>"čm.2.4 a 2.8" (2,125+1,40)*2,75-0,80*2,10</t>
  </si>
  <si>
    <t>"čm.2.5" 1,17*(2,75-1,20)</t>
  </si>
  <si>
    <t>"čm.2.6" 1,68*(2,75-2,00)</t>
  </si>
  <si>
    <t>"čm.2.7" 5,75*4,45-1,60*2,10</t>
  </si>
  <si>
    <t>"čm.2.10" 2,245*2,65+2,09*4,00</t>
  </si>
  <si>
    <t>"čm.2.12" (1,85+0,35)*2,65</t>
  </si>
  <si>
    <t>"čm.2.13" (0,75+1,30)*2,65</t>
  </si>
  <si>
    <t>"čm.2.14" 3,87*1,90</t>
  </si>
  <si>
    <t>43</t>
  </si>
  <si>
    <t>622211001</t>
  </si>
  <si>
    <t>Montáž zateplení vnějších stěn z polystyrénových desek tl do 40 mm</t>
  </si>
  <si>
    <t>44</t>
  </si>
  <si>
    <t>283759310</t>
  </si>
  <si>
    <t>deska fasádní polystyrénová EPS 70 F 1000 x 500 x 30 mm</t>
  </si>
  <si>
    <t>45</t>
  </si>
  <si>
    <t>622211021</t>
  </si>
  <si>
    <t>Montáž zateplení vnějších stěn z polystyrénových desek tl do 120 mm</t>
  </si>
  <si>
    <t>46</t>
  </si>
  <si>
    <t>283759380</t>
  </si>
  <si>
    <t>deska fasádní polystyrénová EPS 70 F 1000 x 500 x 100 mm</t>
  </si>
  <si>
    <t>47</t>
  </si>
  <si>
    <t>622321121</t>
  </si>
  <si>
    <t>Vápenocementová omítka hladká jednovrstvá vnějších stěn nanášená ručně</t>
  </si>
  <si>
    <t>"omítka komínových těles"</t>
  </si>
  <si>
    <t>"od 21,98- 23,190" (0,89+0,565)*2*(23,19-21,98)</t>
  </si>
  <si>
    <t>48</t>
  </si>
  <si>
    <t>622321141</t>
  </si>
  <si>
    <t>Vápenocementová omítka štuková dvouvrstvá vnějších stěn nanášená ručně</t>
  </si>
  <si>
    <t>49</t>
  </si>
  <si>
    <t>622531011</t>
  </si>
  <si>
    <t>Tenkovrstvá silikonová zrnitá omítka tl. 1,5 mm včetně penetrace vnějších stěn</t>
  </si>
  <si>
    <t>50</t>
  </si>
  <si>
    <t>622611132</t>
  </si>
  <si>
    <t>Nátěr silikátový dvojnásobný vnějších omítaných stěn včetně penetrace provedený ručně</t>
  </si>
  <si>
    <t>51</t>
  </si>
  <si>
    <t>631311126</t>
  </si>
  <si>
    <t>Mazanina tl do 120 mm z betonu prostého tř. C 25/30</t>
  </si>
  <si>
    <t>dsk*(0,03/2+0,07)</t>
  </si>
  <si>
    <t>52</t>
  </si>
  <si>
    <t>631319012</t>
  </si>
  <si>
    <t>Příplatek k mazanině tl do 120 mm za přehlazení povrchu</t>
  </si>
  <si>
    <t>53</t>
  </si>
  <si>
    <t>631362021</t>
  </si>
  <si>
    <t>Výztuž mazanin svařovanými sítěmi Kari</t>
  </si>
  <si>
    <t>dsk*4,44*1,15/1000</t>
  </si>
  <si>
    <t>54</t>
  </si>
  <si>
    <t>632441114</t>
  </si>
  <si>
    <t>Potěr anhydritový samonivelační tl do 55 mm ze suchých směsí</t>
  </si>
  <si>
    <t>P1+P2+P3+P4</t>
  </si>
  <si>
    <t>55</t>
  </si>
  <si>
    <t>632481213</t>
  </si>
  <si>
    <t>Separační vrstva z PE fólie</t>
  </si>
  <si>
    <t>P1+P2+P3+P4+P5+P6+P7</t>
  </si>
  <si>
    <t>56</t>
  </si>
  <si>
    <t>642945111</t>
  </si>
  <si>
    <t>Osazování protipožárních nebo protiplynových zárubní dveří jednokřídlových do 2,5 m2</t>
  </si>
  <si>
    <t>57</t>
  </si>
  <si>
    <t>553311190</t>
  </si>
  <si>
    <t>zárubeň ocelová pro běžné zdění H 110 900 L/P</t>
  </si>
  <si>
    <t>Ostatní konstrukce a práce</t>
  </si>
  <si>
    <t>58</t>
  </si>
  <si>
    <t>003</t>
  </si>
  <si>
    <t>949101112</t>
  </si>
  <si>
    <t>Lešení pomocné pro objekty pozemních staveb s lešeňovou podlahou v do 3,5 m zatížení do 150 kg/m2</t>
  </si>
  <si>
    <t>59</t>
  </si>
  <si>
    <t>952901111</t>
  </si>
  <si>
    <t>Vyčištění budov bytové a občanské výstavby při výšce podlaží do 4 m</t>
  </si>
  <si>
    <t>60</t>
  </si>
  <si>
    <t>013</t>
  </si>
  <si>
    <t>962031133</t>
  </si>
  <si>
    <t>Bourání příček z cihel pálených na MVC tl do 150 mm</t>
  </si>
  <si>
    <t>61</t>
  </si>
  <si>
    <t>962032231</t>
  </si>
  <si>
    <t>Bourání zdiva z cihel pálených nebo vápenopískových na MV nebo MVC</t>
  </si>
  <si>
    <t>62</t>
  </si>
  <si>
    <t>963012510</t>
  </si>
  <si>
    <t>Bourání stropů z ŽB desek š do 300 mm tl do 140 mm</t>
  </si>
  <si>
    <t>63</t>
  </si>
  <si>
    <t>965041341</t>
  </si>
  <si>
    <t>Bourání podkladů pod dlažby nebo mazanin škvárobetonových tl do 100 mm pl přes 4 m2</t>
  </si>
  <si>
    <t>64</t>
  </si>
  <si>
    <t>PK</t>
  </si>
  <si>
    <t>965042342</t>
  </si>
  <si>
    <t>Odstranění zásypu záklopu tl. 20mm</t>
  </si>
  <si>
    <t>65</t>
  </si>
  <si>
    <t>965042343</t>
  </si>
  <si>
    <t>Odstranění zásypu záklopu tl. 90mm</t>
  </si>
  <si>
    <t>4,95*5,20</t>
  </si>
  <si>
    <t>66</t>
  </si>
  <si>
    <t>965081113</t>
  </si>
  <si>
    <t>Bourání dlažby z dlaždic půdních plochy přes 1 m2</t>
  </si>
  <si>
    <t>67</t>
  </si>
  <si>
    <t>968062245</t>
  </si>
  <si>
    <t>Vybourání dřevěných rámů oken jednoduchých včetně křídel pl do 2 m2</t>
  </si>
  <si>
    <t>68</t>
  </si>
  <si>
    <t>968062355</t>
  </si>
  <si>
    <t>Vybourání dřevěných rámů oken dvojitých včetně křídel pl do 2 m2</t>
  </si>
  <si>
    <t>69</t>
  </si>
  <si>
    <t>968062356</t>
  </si>
  <si>
    <t>Vybourání dřevěných rámů oken dvojitých včetně křídel pl do 4 m2</t>
  </si>
  <si>
    <t>70</t>
  </si>
  <si>
    <t>968072455</t>
  </si>
  <si>
    <t>Vybourání kovových dveřních zárubní pl do 2 m2</t>
  </si>
  <si>
    <t>72</t>
  </si>
  <si>
    <t>971033651</t>
  </si>
  <si>
    <t>Vybourání otvorů ve zdivu cihelném pl do 4 m2 na MVC nebo MV tl do 600 mm</t>
  </si>
  <si>
    <t>"6.NP" 1,20*2,20*0,450</t>
  </si>
  <si>
    <t>73</t>
  </si>
  <si>
    <t>973031336</t>
  </si>
  <si>
    <t>Vysekání kapes ve zdivu cihelném na MV nebo MVC pl do 0,16 m2 hl do 450 mm</t>
  </si>
  <si>
    <t>74</t>
  </si>
  <si>
    <t>978013191</t>
  </si>
  <si>
    <t>Otlučení vnitřních omítek stěn MV nebo MVC stěn v rozsahu do 100 %</t>
  </si>
  <si>
    <t>99</t>
  </si>
  <si>
    <t>Přesun hmot</t>
  </si>
  <si>
    <t>75</t>
  </si>
  <si>
    <t>997013116</t>
  </si>
  <si>
    <t>Vnitrostaveništní doprava suti a vybouraných hmot pro budovy v do 21 m s použitím mechanizace</t>
  </si>
  <si>
    <t>76</t>
  </si>
  <si>
    <t>997013312</t>
  </si>
  <si>
    <t>Montáž a demontáž stavebního výtahu v do 20 m</t>
  </si>
  <si>
    <t>m</t>
  </si>
  <si>
    <t>77</t>
  </si>
  <si>
    <t>997013322</t>
  </si>
  <si>
    <t>Příplatek ke stavebnímu výtahu  v do 20 m za první a ZKD den použití</t>
  </si>
  <si>
    <t>78</t>
  </si>
  <si>
    <t>997013501</t>
  </si>
  <si>
    <t>Odvoz suti na skládku a vybouraných hmot nebo meziskládku do 1 km se složením</t>
  </si>
  <si>
    <t>79</t>
  </si>
  <si>
    <t>997013509</t>
  </si>
  <si>
    <t>Příplatek k odvozu suti a vybouraných hmot na skládku ZKD 1 km přes 1 km</t>
  </si>
  <si>
    <t>80</t>
  </si>
  <si>
    <t>997013803</t>
  </si>
  <si>
    <t>Poplatek za uložení stavebního odpadu z keramických materiálů na skládce (skládkovné)</t>
  </si>
  <si>
    <t>81</t>
  </si>
  <si>
    <t>997013811</t>
  </si>
  <si>
    <t>Poplatek za uložení stavebního dřevěného odpadu na skládce (skládkovné)</t>
  </si>
  <si>
    <t>82</t>
  </si>
  <si>
    <t>998011003</t>
  </si>
  <si>
    <t>Přesun hmot pro budovy zděné v do 24 m</t>
  </si>
  <si>
    <t>83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</si>
  <si>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</si>
  <si>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</si>
  <si>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</si>
  <si>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</si>
  <si>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</si>
  <si>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84</t>
  </si>
  <si>
    <t>711111001</t>
  </si>
  <si>
    <t>Provedení izolace proti zemní vlhkosti vodorovné za studena nátěrem penetračním</t>
  </si>
  <si>
    <t>P7+P6+P5</t>
  </si>
  <si>
    <t>85</t>
  </si>
  <si>
    <t>111631500</t>
  </si>
  <si>
    <t>86</t>
  </si>
  <si>
    <t>711193121</t>
  </si>
  <si>
    <t>P2+P6</t>
  </si>
  <si>
    <t>87</t>
  </si>
  <si>
    <t>711193131</t>
  </si>
  <si>
    <t>"čm.2.5" ((1,00+1,20)*2-0,70)*0,20</t>
  </si>
  <si>
    <t>"čm.2.6" ((1,65+2,80)*2-0,70)*0,20</t>
  </si>
  <si>
    <t>"čm.2.14" ((2,935+3,78+0,30)*2-0,70)*0,20+(1,73+0,77*2)*1,80</t>
  </si>
  <si>
    <t>"čm.2.15" ((1,73+1,265)*2-0,70)*0,20</t>
  </si>
  <si>
    <t>88</t>
  </si>
  <si>
    <t>998711203</t>
  </si>
  <si>
    <t>Přesun hmot procentní pro izolace proti vodě, vlhkosti a plynům v objektech v do 60 m</t>
  </si>
  <si>
    <t>712</t>
  </si>
  <si>
    <t>Povlakové krytiny</t>
  </si>
  <si>
    <t>89</t>
  </si>
  <si>
    <t>712300832</t>
  </si>
  <si>
    <t>Odstranění povlakové krytiny střech do 10° dvouvrstvé</t>
  </si>
  <si>
    <t>90</t>
  </si>
  <si>
    <t>998712203</t>
  </si>
  <si>
    <t>Přesun hmot procentní pro krytiny povlakové v objektech v do 24 m</t>
  </si>
  <si>
    <t>713</t>
  </si>
  <si>
    <t>Izolace tepelné</t>
  </si>
  <si>
    <t>91</t>
  </si>
  <si>
    <t>713121111</t>
  </si>
  <si>
    <t>Montáž izolace tepelné podlah volně kladenými rohožemi, pásy, dílci, deskami 1 vrstva</t>
  </si>
  <si>
    <t>P5+P6+P7</t>
  </si>
  <si>
    <t>92</t>
  </si>
  <si>
    <t>713121121</t>
  </si>
  <si>
    <t>Montáž izolace tepelné podlah volně kladenými rohožemi, pásy, dílci, deskami 2 vrstvy</t>
  </si>
  <si>
    <t>93</t>
  </si>
  <si>
    <t>283766320</t>
  </si>
  <si>
    <t>deska polystyrénová pro snížení kročejového hluku  T 3500 1000x500x30mm</t>
  </si>
  <si>
    <t>P1+P2+P3+P4+P5+P7</t>
  </si>
  <si>
    <t>94</t>
  </si>
  <si>
    <t>631509440</t>
  </si>
  <si>
    <t>p6</t>
  </si>
  <si>
    <t>95</t>
  </si>
  <si>
    <t>283758770</t>
  </si>
  <si>
    <t>deska z pěnového polystyrenu bílá EPS 100 Z 1000 x 1000 x 20 mm</t>
  </si>
  <si>
    <t>96</t>
  </si>
  <si>
    <t>713131151</t>
  </si>
  <si>
    <t>Montáž izolace tepelné stěn a základů volně vloženými rohožemi, pásy, dílci, deskami 1 vrstva</t>
  </si>
  <si>
    <t>"skladba S5 -štítové stěny 6.NP</t>
  </si>
  <si>
    <t>97</t>
  </si>
  <si>
    <t>631481500</t>
  </si>
  <si>
    <t>deska minerální izolační 600x1200 mm tl. 40 mm</t>
  </si>
  <si>
    <t>98</t>
  </si>
  <si>
    <t>631481540</t>
  </si>
  <si>
    <t>deska minerální izolační  600x1200 mm tl. 100 mm</t>
  </si>
  <si>
    <t>631481550</t>
  </si>
  <si>
    <t>deska minerální izolační 600x1200 mm tl. 120 mm</t>
  </si>
  <si>
    <t>100</t>
  </si>
  <si>
    <t>631481400</t>
  </si>
  <si>
    <t>deska minerální izolační 600x1200 mm tl. 180 mm</t>
  </si>
  <si>
    <t>101</t>
  </si>
  <si>
    <t>713151111</t>
  </si>
  <si>
    <t>Montáž izolace tepelné střech šikmých kladené volně mezi krokve rohoží, pásů, desek</t>
  </si>
  <si>
    <t>S1</t>
  </si>
  <si>
    <t>102</t>
  </si>
  <si>
    <t>631481000</t>
  </si>
  <si>
    <t>deska minerální střešní izolační tl. 40 mm</t>
  </si>
  <si>
    <t>103</t>
  </si>
  <si>
    <t>631480100</t>
  </si>
  <si>
    <t>deska minerální střešní izolační tl. 180 mm</t>
  </si>
  <si>
    <t>104</t>
  </si>
  <si>
    <t>998713203</t>
  </si>
  <si>
    <t>Přesun hmot procentní pro izolace tepelné v objektech v do 24 m</t>
  </si>
  <si>
    <t>721</t>
  </si>
  <si>
    <t xml:space="preserve">Zdravotechnika </t>
  </si>
  <si>
    <t>105</t>
  </si>
  <si>
    <t>721001</t>
  </si>
  <si>
    <t>Zdravotně technická instalace - samostatná část rozpočtu</t>
  </si>
  <si>
    <t>106</t>
  </si>
  <si>
    <t>721002</t>
  </si>
  <si>
    <t>Kanalizace</t>
  </si>
  <si>
    <t>107</t>
  </si>
  <si>
    <t>721003</t>
  </si>
  <si>
    <t>Vnitřní vodovod</t>
  </si>
  <si>
    <t>108</t>
  </si>
  <si>
    <t>721004</t>
  </si>
  <si>
    <t>Stavební přípomoc</t>
  </si>
  <si>
    <t>723</t>
  </si>
  <si>
    <t>Plynovod</t>
  </si>
  <si>
    <t>109</t>
  </si>
  <si>
    <t>723001</t>
  </si>
  <si>
    <t>Rozvod plynu v bytě - samostatná část rozpočtu</t>
  </si>
  <si>
    <t>110</t>
  </si>
  <si>
    <t>723002</t>
  </si>
  <si>
    <t>731</t>
  </si>
  <si>
    <t xml:space="preserve">Ústřední vytápění </t>
  </si>
  <si>
    <t>111</t>
  </si>
  <si>
    <t>731001</t>
  </si>
  <si>
    <t>112</t>
  </si>
  <si>
    <t>731002</t>
  </si>
  <si>
    <t>741</t>
  </si>
  <si>
    <t xml:space="preserve">Elektromontáže </t>
  </si>
  <si>
    <t>113</t>
  </si>
  <si>
    <t>741001</t>
  </si>
  <si>
    <t>Elektroinstalace - silnoproud - samostatná část rozpočtu</t>
  </si>
  <si>
    <t>114</t>
  </si>
  <si>
    <t>741002</t>
  </si>
  <si>
    <t>Elektroinstalace - slaboproud - samostatná část rozpočtu</t>
  </si>
  <si>
    <t>751</t>
  </si>
  <si>
    <t>Vzduchotechnika</t>
  </si>
  <si>
    <t>115</t>
  </si>
  <si>
    <t>713411111</t>
  </si>
  <si>
    <t>Montáž izolace tepelné potrubí pásy nebo rohožemi bez úpravy staženými drátem 1x</t>
  </si>
  <si>
    <t>116</t>
  </si>
  <si>
    <t>631535810</t>
  </si>
  <si>
    <t>deska izolační z minerálních vláken tl. 40 mm</t>
  </si>
  <si>
    <t>117</t>
  </si>
  <si>
    <t>751111052</t>
  </si>
  <si>
    <t>Mtž vent ax ntl podhledového D do 200 mm</t>
  </si>
  <si>
    <t>118</t>
  </si>
  <si>
    <t>429171000</t>
  </si>
  <si>
    <t>ventilátor radiální do kruhového potrubí KVK 125</t>
  </si>
  <si>
    <t>119</t>
  </si>
  <si>
    <t>751514762</t>
  </si>
  <si>
    <t>Mtž protidešťové stříšky plech potrubí kruhové s přírubou D do 200 mm</t>
  </si>
  <si>
    <t>120</t>
  </si>
  <si>
    <t>429723020</t>
  </si>
  <si>
    <t>stříška kruhová velikost 125</t>
  </si>
  <si>
    <t>121</t>
  </si>
  <si>
    <t>429723030</t>
  </si>
  <si>
    <t>stříška kruhová velikost 160</t>
  </si>
  <si>
    <t>122</t>
  </si>
  <si>
    <t>751525052</t>
  </si>
  <si>
    <t>Mtž potrubí plast kruh s přírubou D do 200 mm</t>
  </si>
  <si>
    <t>123</t>
  </si>
  <si>
    <t>286111200</t>
  </si>
  <si>
    <t>trubka hladká hrdlovaná D 160 x 3,6 x 5000 mm</t>
  </si>
  <si>
    <t>124</t>
  </si>
  <si>
    <t>286111190</t>
  </si>
  <si>
    <t>trubka  hladká hrdlovaná D 125 x 3,0 x 5000 mm</t>
  </si>
  <si>
    <t>125</t>
  </si>
  <si>
    <t>998751202</t>
  </si>
  <si>
    <t>Přesun hmot procentní pro vzduchotechniku v objektech v do 24 m</t>
  </si>
  <si>
    <t>762</t>
  </si>
  <si>
    <t>Konstrukce tesařské</t>
  </si>
  <si>
    <t>126</t>
  </si>
  <si>
    <t>762081410</t>
  </si>
  <si>
    <t>Vícestranné hoblování hraněného řeziva na staveništi</t>
  </si>
  <si>
    <t>127</t>
  </si>
  <si>
    <t>762331812</t>
  </si>
  <si>
    <t>Demontáž vázaných kcí krovů z hranolů průřezové plochy do 224 cm2</t>
  </si>
  <si>
    <t>128</t>
  </si>
  <si>
    <t>762331814</t>
  </si>
  <si>
    <t>Demontáž vázaných kcí krovů z hranolů průřezové plochy do 450 cm2</t>
  </si>
  <si>
    <t>129</t>
  </si>
  <si>
    <t>762332132</t>
  </si>
  <si>
    <t>Montáž vázaných kcí krovů pravidelných z hraněného řeziva průřezové plochy do 224 cm2</t>
  </si>
  <si>
    <t>130</t>
  </si>
  <si>
    <t>762332133</t>
  </si>
  <si>
    <t>Montáž vázaných kcí krovů pravidelných z hraněného řeziva průřezové plochy do 288 cm2</t>
  </si>
  <si>
    <t>131</t>
  </si>
  <si>
    <t>605121110</t>
  </si>
  <si>
    <t>řezivo jehličnaté hranol jakost I-II</t>
  </si>
  <si>
    <t>132</t>
  </si>
  <si>
    <t>762341811</t>
  </si>
  <si>
    <t>Demontáž bednění střech z prken</t>
  </si>
  <si>
    <t>133</t>
  </si>
  <si>
    <t>762342211</t>
  </si>
  <si>
    <t>Montáž laťování na střechách jednoduchých sklonu do 60° osové vzdálenosti do 150 mm</t>
  </si>
  <si>
    <t>134</t>
  </si>
  <si>
    <t>762342216</t>
  </si>
  <si>
    <t>Montáž laťování na střechách jednoduchých sklonu do 60° osové vzdálenosti do 600 mm</t>
  </si>
  <si>
    <t>135</t>
  </si>
  <si>
    <t>605141140</t>
  </si>
  <si>
    <t>řezivo jehličnaté,střešní latě impregnované dl 4 - 5 m</t>
  </si>
  <si>
    <t>136</t>
  </si>
  <si>
    <t>762342812</t>
  </si>
  <si>
    <t>Demontáž laťování střech z latí osové vzdálenosti do 0,50 m</t>
  </si>
  <si>
    <t>137</t>
  </si>
  <si>
    <t>762002</t>
  </si>
  <si>
    <t>Kontrola stávajících tesařských prvků</t>
  </si>
  <si>
    <t>138</t>
  </si>
  <si>
    <t>762395000</t>
  </si>
  <si>
    <t>Spojovací prostředky pro montáž krovu, bednění, laťování, světlíky, klíny</t>
  </si>
  <si>
    <t>139</t>
  </si>
  <si>
    <t>762511173</t>
  </si>
  <si>
    <t>Podlahové kce podkladové dvouvrstvé z desek CETRIS tl 2x12 mm na sraz šroubovaných</t>
  </si>
  <si>
    <t>143</t>
  </si>
  <si>
    <t>998762203</t>
  </si>
  <si>
    <t>Přesun hmot procentní pro kce tesařské v objektech v do 24 m</t>
  </si>
  <si>
    <t>763</t>
  </si>
  <si>
    <t>Konstrukce suché výstavby</t>
  </si>
  <si>
    <t>144</t>
  </si>
  <si>
    <t>763111434</t>
  </si>
  <si>
    <t>SDK příčka tl 125 mm profil CW+UW 75 desky 2xH2 12,5 TI 70 mm</t>
  </si>
  <si>
    <t>"byt č.2"4,13*(1,30+2,45)*2+(2,80+0,40)*2,45-0,80*2,10*2</t>
  </si>
  <si>
    <t>145</t>
  </si>
  <si>
    <t>763114236</t>
  </si>
  <si>
    <t>SDK příčka bezpečnostní tl 255 mm 1xplech zdvojený profil CW+UW100 desky 2xH2 12,5 TI50+50mm</t>
  </si>
  <si>
    <t>146</t>
  </si>
  <si>
    <t>763121451</t>
  </si>
  <si>
    <t>SDK stěna předsazená tl 75 mm profil CW+UW 50 desky 2xDF 12,5 TI 40 mm</t>
  </si>
  <si>
    <t>"čm.2.7" 5,40*(0,90+2,20+2,12)/2</t>
  </si>
  <si>
    <t>148</t>
  </si>
  <si>
    <t>763121455</t>
  </si>
  <si>
    <t>SDK stěna předsazená tl 150 mm profil CW+UW 100 desky 2xDF 12,5 TI 50 mm EI 45</t>
  </si>
  <si>
    <t>"čm.2.7" 6,0*0,90</t>
  </si>
  <si>
    <t>"čm.2.11.-2.13" 9,735*1,25+3,15*1,60+(0,50+1,05)*1,20</t>
  </si>
  <si>
    <t>149</t>
  </si>
  <si>
    <t>763131411</t>
  </si>
  <si>
    <t>SDK podhled desky 1xA 12,5 bez TI dvouvrstvá spodní kce profil CD+UD</t>
  </si>
  <si>
    <t>150</t>
  </si>
  <si>
    <t>763131451</t>
  </si>
  <si>
    <t>SDK podhled deska 1xH2 12,5 bez TI dvouvrstvá spodní kce profil CD+UD</t>
  </si>
  <si>
    <t>151</t>
  </si>
  <si>
    <t>763131751</t>
  </si>
  <si>
    <t>Montáž parotěsné zábrany do SDK podhledu</t>
  </si>
  <si>
    <t>152</t>
  </si>
  <si>
    <t>283292210</t>
  </si>
  <si>
    <t>fólie parotěsná</t>
  </si>
  <si>
    <t>153</t>
  </si>
  <si>
    <t>763161710</t>
  </si>
  <si>
    <t>SDK podkroví deska 1xA 12,5 bez TI dvouvrstvá spodní kce profil CD+UD REI 15</t>
  </si>
  <si>
    <t>"čm.2.10" 2,09*2,70</t>
  </si>
  <si>
    <t>"čm.2.11" 3,02*2,70+3,285*6,78-1,35*2,45-0,60*0,60*2</t>
  </si>
  <si>
    <t>"čm.2.12" 3,50*4,40-1,35*2,45</t>
  </si>
  <si>
    <t>"čm.2.13" 3,575*4,40-1,35*2,45</t>
  </si>
  <si>
    <t>154</t>
  </si>
  <si>
    <t>763161730</t>
  </si>
  <si>
    <t>SDK podkroví deska 1xH2 12,5 bez TI dvouvrstvá spodní kce profil CD+UD</t>
  </si>
  <si>
    <t>"čm.2.14" 3,87*2,70+1,73*0,80</t>
  </si>
  <si>
    <t>155</t>
  </si>
  <si>
    <t>998763202</t>
  </si>
  <si>
    <t>Přesun hmot procentní pro dřevostavby v objektech v do 24 m</t>
  </si>
  <si>
    <t>764</t>
  </si>
  <si>
    <t>Konstrukce klempířské</t>
  </si>
  <si>
    <t>156</t>
  </si>
  <si>
    <t>157</t>
  </si>
  <si>
    <t>764239530</t>
  </si>
  <si>
    <t>Lemování komínů a světlíků TiZn hladká a drážková krytina v ploše</t>
  </si>
  <si>
    <t>0,45*4*0,80</t>
  </si>
  <si>
    <t>158</t>
  </si>
  <si>
    <t>764251505</t>
  </si>
  <si>
    <t>Žlab TiZn podokapní hranatý rš 400 mm</t>
  </si>
  <si>
    <t>159</t>
  </si>
  <si>
    <t>764259547</t>
  </si>
  <si>
    <t>Žlab podokapní TiZn - kotlík oválný vel. 400/120 mm</t>
  </si>
  <si>
    <t>160</t>
  </si>
  <si>
    <t>764312821</t>
  </si>
  <si>
    <t>Demontáž krytina hladká tabule 2000x670 mm sklon do 30° plocha do 25 m2</t>
  </si>
  <si>
    <t>161</t>
  </si>
  <si>
    <t>764352861</t>
  </si>
  <si>
    <t>Demontáž žlab podokapní půlkruhový obloukový rš 500 mm do 45°</t>
  </si>
  <si>
    <t>162</t>
  </si>
  <si>
    <t>764510540</t>
  </si>
  <si>
    <t>Oplechování parapetů TiZn rš 250 mm včetně rohů</t>
  </si>
  <si>
    <t>163</t>
  </si>
  <si>
    <t>764551503</t>
  </si>
  <si>
    <t>Odpadní trouby TiZn čtvercové strana 120 mm</t>
  </si>
  <si>
    <t>164</t>
  </si>
  <si>
    <t>R764001</t>
  </si>
  <si>
    <t>Demontáž klempíských prvků na střešní konstrukci vč. likvidace</t>
  </si>
  <si>
    <t>165</t>
  </si>
  <si>
    <t>998764203</t>
  </si>
  <si>
    <t>Přesun hmot procentní pro konstrukce klempířské v objektech v do 24 m</t>
  </si>
  <si>
    <t>765</t>
  </si>
  <si>
    <t>Konstrukce pokrývačské</t>
  </si>
  <si>
    <t>166</t>
  </si>
  <si>
    <t>765111101</t>
  </si>
  <si>
    <t>Montáž krytiny keramické hladké sklonu do 30° na sucho přes 32 do 40 ks/m2 korunové krytí</t>
  </si>
  <si>
    <t>167</t>
  </si>
  <si>
    <t>596600260</t>
  </si>
  <si>
    <t>taška bobrovka větrací 18x38 cm (používá se segmentový řez)</t>
  </si>
  <si>
    <t>168</t>
  </si>
  <si>
    <t>765111813</t>
  </si>
  <si>
    <t>Příplatek k demontáži krytiny keramické drážkové k dalšímu použití za sklon nad 30°</t>
  </si>
  <si>
    <t>169</t>
  </si>
  <si>
    <t>765111823</t>
  </si>
  <si>
    <t>Demontáž krytiny keramické hladké sklonu do 30° na sucho k dalšímu použití</t>
  </si>
  <si>
    <t>170</t>
  </si>
  <si>
    <t>765144005</t>
  </si>
  <si>
    <t>Krytina z polykarbonátových komůrkových desek rovných tl. 16 mm na kovovou konstrukci</t>
  </si>
  <si>
    <t>171</t>
  </si>
  <si>
    <t>765191021</t>
  </si>
  <si>
    <t>Montáž pojistné hydroizolační fólie kladené ve sklonu do 30° s lepenými spoji na krokve</t>
  </si>
  <si>
    <t>172</t>
  </si>
  <si>
    <t>283292200</t>
  </si>
  <si>
    <t>fólie difuzní kontaktní</t>
  </si>
  <si>
    <t>173</t>
  </si>
  <si>
    <t>765191091</t>
  </si>
  <si>
    <t>Příplatek k cenám montáže pojistné hydroizolační fólie za sklon přes 30°</t>
  </si>
  <si>
    <t>174</t>
  </si>
  <si>
    <t>998765203</t>
  </si>
  <si>
    <t>Přesun hmot procentní pro krytiny skládané v objektech v do 24 m</t>
  </si>
  <si>
    <t>766</t>
  </si>
  <si>
    <t>Konstrukce truhlářské</t>
  </si>
  <si>
    <t>175</t>
  </si>
  <si>
    <t>766211200</t>
  </si>
  <si>
    <t>Montáž madel schodišťových dřevených nebo verzalitových průběžných</t>
  </si>
  <si>
    <t>176</t>
  </si>
  <si>
    <t>61190001</t>
  </si>
  <si>
    <t>Madlo dubové, vč. přichycení</t>
  </si>
  <si>
    <t>177</t>
  </si>
  <si>
    <t>766438111</t>
  </si>
  <si>
    <t>Montáž dřevěného obložení betonových nebo ocelových stupňů s podstupnicemi</t>
  </si>
  <si>
    <t>178</t>
  </si>
  <si>
    <t>606270180</t>
  </si>
  <si>
    <t>laťovka TP tl 18 mm, jak. I,125x250(125x218)cm</t>
  </si>
  <si>
    <t>179</t>
  </si>
  <si>
    <t>766621111</t>
  </si>
  <si>
    <t>Montáž oken dvojitých otevíravých výšky do 1,5m s rámem do zdiva</t>
  </si>
  <si>
    <t>180</t>
  </si>
  <si>
    <t>611305840</t>
  </si>
  <si>
    <t>okno s nadsvětlíkem 1300 x 1500mm, specifikace dle PD</t>
  </si>
  <si>
    <t>181</t>
  </si>
  <si>
    <t>766621201</t>
  </si>
  <si>
    <t>Montáž oken zdvojených otevíravých výšky do 1,5m s rámem do zdiva</t>
  </si>
  <si>
    <t>182</t>
  </si>
  <si>
    <t>611309510</t>
  </si>
  <si>
    <t>okno s nadsvětlíkem 2050 x 1500mm, spedifikace dle PD</t>
  </si>
  <si>
    <t>183</t>
  </si>
  <si>
    <t>767</t>
  </si>
  <si>
    <t>767316311</t>
  </si>
  <si>
    <t>Montáž střešního bodového světlíku přes 1 do 1,5 m2</t>
  </si>
  <si>
    <t>184</t>
  </si>
  <si>
    <t>562453570</t>
  </si>
  <si>
    <t>světlík ACG napožární větrání 800 x 1300mm, na elektromotoricý pohon, specifikace dle PD</t>
  </si>
  <si>
    <t>185</t>
  </si>
  <si>
    <t>766660022</t>
  </si>
  <si>
    <t>Montáž dveřních křídel otvíravých 1křídlových š přes 0,8 m požárních do ocelové zárubně</t>
  </si>
  <si>
    <t>186</t>
  </si>
  <si>
    <t>611742040</t>
  </si>
  <si>
    <t>187</t>
  </si>
  <si>
    <t>766660171</t>
  </si>
  <si>
    <t>Montáž dveřních křídel otvíravých 1křídlových š do 0,8 m do obložkové zárubně</t>
  </si>
  <si>
    <t>188</t>
  </si>
  <si>
    <t>549146200</t>
  </si>
  <si>
    <t>klika včetně rozet a montážního materiálu  nerez PK</t>
  </si>
  <si>
    <t>189</t>
  </si>
  <si>
    <t>611617170</t>
  </si>
  <si>
    <t>dveře vnitřní hladké dýhované plné 1křídlové 70x197 cm dub, specifikace dle PD</t>
  </si>
  <si>
    <t>190</t>
  </si>
  <si>
    <t>611617210</t>
  </si>
  <si>
    <t>dveře vnitřní hladké dýhované plné/prosklené 1křídlové 80x197 cm dub, specifikace dle PD</t>
  </si>
  <si>
    <t>191</t>
  </si>
  <si>
    <t>766660172</t>
  </si>
  <si>
    <t>Montáž dveřních křídel otvíravých 1křídlových š přes 0,8 m do obložkové zárubně</t>
  </si>
  <si>
    <t>192</t>
  </si>
  <si>
    <t>611602420</t>
  </si>
  <si>
    <t>dveře dřevěné vnitřní hladké plné 1křídlové bílé 100x210 cm</t>
  </si>
  <si>
    <t>193</t>
  </si>
  <si>
    <t>766660174</t>
  </si>
  <si>
    <t>Montáž dveřních křídel otvíravých 2křídlových š přes 1,45 m do obložkové zárubně</t>
  </si>
  <si>
    <t>194</t>
  </si>
  <si>
    <t>611617750</t>
  </si>
  <si>
    <t>dveře vnitřní, sklo 1/3, 2/3 2křídlé 160x210 cm buk</t>
  </si>
  <si>
    <t>196</t>
  </si>
  <si>
    <t>766671471</t>
  </si>
  <si>
    <t>Střešní okno  60 x 60 cm včetně montáže okenního rámu a lemování do krytiny tvarované, specifikace dle PD</t>
  </si>
  <si>
    <t>197</t>
  </si>
  <si>
    <t>766671478</t>
  </si>
  <si>
    <t>Montáž střešního ateliérového okna 1350 x 2450 cm osazení do krytiny tvarované</t>
  </si>
  <si>
    <t>198</t>
  </si>
  <si>
    <t>611241180</t>
  </si>
  <si>
    <t>okno ateliérové , dřevěné 1350 x 2450mm, vč. oplechování, specifikace dle PD</t>
  </si>
  <si>
    <t>199</t>
  </si>
  <si>
    <t>766674811</t>
  </si>
  <si>
    <t>Demontáž střešního okna hladká krytina do 45°</t>
  </si>
  <si>
    <t>200</t>
  </si>
  <si>
    <t>766682111</t>
  </si>
  <si>
    <t>Montáž zárubní obložkových pro dveře jednokřídlové tl stěny do 170 mm</t>
  </si>
  <si>
    <t>201</t>
  </si>
  <si>
    <t>611822580</t>
  </si>
  <si>
    <t>zárubeň obložková pro dveře 1křídlové 60,70,80,90x197 cm, tl. 8 - 17 cm,dub,buk</t>
  </si>
  <si>
    <t>202</t>
  </si>
  <si>
    <t>766682121</t>
  </si>
  <si>
    <t>Montáž zárubní obložkových pro dveře dvoukřídlové tl stěny do 170 mm</t>
  </si>
  <si>
    <t>203</t>
  </si>
  <si>
    <t>611822740</t>
  </si>
  <si>
    <t>zárubeň obložková pro dveře 2křídlové 125,145x197 cm, tl. 8 - 17 cm,dub,buk</t>
  </si>
  <si>
    <t>204</t>
  </si>
  <si>
    <t>766691912</t>
  </si>
  <si>
    <t>Vyvěšení nebo zavěšení dřevěných křídel oken pl přes 1,5 m2</t>
  </si>
  <si>
    <t>205</t>
  </si>
  <si>
    <t>766695212</t>
  </si>
  <si>
    <t>Montáž truhlářských prahů dveří 1křídlových šířky do 10 cm</t>
  </si>
  <si>
    <t>206</t>
  </si>
  <si>
    <t>611871760</t>
  </si>
  <si>
    <t>prah dveřní dřevěný dubový tl 2 cm dl.92 cm š 10 cm</t>
  </si>
  <si>
    <t>207</t>
  </si>
  <si>
    <t>998766203</t>
  </si>
  <si>
    <t>Přesun hmot procentní pro konstrukce truhlářské v objektech v do 24 m</t>
  </si>
  <si>
    <t>Konstrukce zámečnické</t>
  </si>
  <si>
    <t>208</t>
  </si>
  <si>
    <t>7671001</t>
  </si>
  <si>
    <t>Ocelový žebřík na střechu výšky do 6,0m</t>
  </si>
  <si>
    <t>209</t>
  </si>
  <si>
    <t>767995111</t>
  </si>
  <si>
    <t>Montáž atypických zámečnických konstrukcí hmotnosti do 5 kg</t>
  </si>
  <si>
    <t>kg</t>
  </si>
  <si>
    <t>210</t>
  </si>
  <si>
    <t>590307110</t>
  </si>
  <si>
    <t>OV 05 dvířka revizní  300 x 300 mm</t>
  </si>
  <si>
    <t>211</t>
  </si>
  <si>
    <t>767995117.1</t>
  </si>
  <si>
    <t>212</t>
  </si>
  <si>
    <t>76799601</t>
  </si>
  <si>
    <t xml:space="preserve">D+M Ocelová konstrukce pro zastřešení světlíku </t>
  </si>
  <si>
    <t>213</t>
  </si>
  <si>
    <t>998767203</t>
  </si>
  <si>
    <t>Přesun hmot procentní pro zámečnické konstrukce v objektech v do 24 m</t>
  </si>
  <si>
    <t>771</t>
  </si>
  <si>
    <t>Podlahy z dlaždic</t>
  </si>
  <si>
    <t>214</t>
  </si>
  <si>
    <t>771413113</t>
  </si>
  <si>
    <t>Montáž soklíků pórovinových lepených rovných v do 120 mm</t>
  </si>
  <si>
    <t>"čm.2.1" (4,40+1,70)*2+1,70+0,60*2-0,90*2-0,80-1,0</t>
  </si>
  <si>
    <t>"čm.2.8" (1,15*2+2,25)</t>
  </si>
  <si>
    <t>215</t>
  </si>
  <si>
    <t>771574115</t>
  </si>
  <si>
    <t>Montáž podlah keramických režných hladkých lepených flexibilním lepidlem do 22 ks/m2</t>
  </si>
  <si>
    <t>P1</t>
  </si>
  <si>
    <t>P2</t>
  </si>
  <si>
    <t>P6</t>
  </si>
  <si>
    <t>216</t>
  </si>
  <si>
    <t>597611350</t>
  </si>
  <si>
    <t>dlaždice keramické - 25 x 25 x 0,8 cm I. j.</t>
  </si>
  <si>
    <t>217</t>
  </si>
  <si>
    <t>998771203</t>
  </si>
  <si>
    <t>Přesun hmot procentní pro podlahy z dlaždic v objektech v do 24 m</t>
  </si>
  <si>
    <t>775</t>
  </si>
  <si>
    <t>Podlahy skládané (parkety, vlysy, lamely aj.)</t>
  </si>
  <si>
    <t>218</t>
  </si>
  <si>
    <t>775413310</t>
  </si>
  <si>
    <t>Montáž soklíku ze dřeva tvrdého nebo měkkého přibíjeného s přetmelením</t>
  </si>
  <si>
    <t>"čm.2.2" (5,51+5,00)*2-0,80</t>
  </si>
  <si>
    <t>"čm.2.3" (3,635+5,16)*2-0,80</t>
  </si>
  <si>
    <t>"čm.2.4" (2,126+4,36)*2-0,80-1,00-0,70*2-1,60-2,20</t>
  </si>
  <si>
    <t>"čm.2.7" (5,585+5,75)*2-1,60</t>
  </si>
  <si>
    <t>"čm.2.10" (2,00+5,05)*2+1,50*2-2,09-0,80*3-0,70*2</t>
  </si>
  <si>
    <t>"čm.2.11" (3,315+8,42)*2-0,80+3,015*2</t>
  </si>
  <si>
    <t>"čm.2.12" (4,45+3,50)*2-0,80</t>
  </si>
  <si>
    <t>"čm.2.13" (3,58+4,085)*2-0,80</t>
  </si>
  <si>
    <t>219</t>
  </si>
  <si>
    <t>614181020</t>
  </si>
  <si>
    <t>lišta dřevěná buk 8x35 mm</t>
  </si>
  <si>
    <t>220</t>
  </si>
  <si>
    <t>775541111</t>
  </si>
  <si>
    <t>Montáž podlah plovoucích z lamel dýhovaných a laminovaných lepených v drážce š dílce do 150 mm</t>
  </si>
  <si>
    <t>P3</t>
  </si>
  <si>
    <t>P4</t>
  </si>
  <si>
    <t>P5</t>
  </si>
  <si>
    <t>P7</t>
  </si>
  <si>
    <t>221</t>
  </si>
  <si>
    <t>611510470</t>
  </si>
  <si>
    <t xml:space="preserve">parketa 14X192X2200 </t>
  </si>
  <si>
    <t>222</t>
  </si>
  <si>
    <t>998775203</t>
  </si>
  <si>
    <t>Přesun hmot procentní pro podlahy dřevěné v objektech v do 24 m</t>
  </si>
  <si>
    <t>781</t>
  </si>
  <si>
    <t>Dokončovací práce - obklady keramické</t>
  </si>
  <si>
    <t>223</t>
  </si>
  <si>
    <t>781411111</t>
  </si>
  <si>
    <t>Montáž obkladaček vnitřních pórovinových pravoúhlých do 22 ks/m2 kladených do malty</t>
  </si>
  <si>
    <t>224</t>
  </si>
  <si>
    <t>597610410</t>
  </si>
  <si>
    <t>obkládačky keramické  (bílé i barevné) 20 x 25 x 0,68 cm I. j.</t>
  </si>
  <si>
    <t>225</t>
  </si>
  <si>
    <t>998781203</t>
  </si>
  <si>
    <t>Přesun hmot procentní pro obklady keramické v objektech v do 24 m</t>
  </si>
  <si>
    <t>783</t>
  </si>
  <si>
    <t xml:space="preserve"> Dokončovací práce</t>
  </si>
  <si>
    <t>226</t>
  </si>
  <si>
    <t>783521900</t>
  </si>
  <si>
    <t>Opravy nátěrů syntetických klempířských konstrukcí jednonásobné</t>
  </si>
  <si>
    <t>227</t>
  </si>
  <si>
    <t>783621112</t>
  </si>
  <si>
    <t>Nátěry syntetické truhlářských konstrukcí barva dražší lesklý povrch dvojnásobné, 1x email a 2x tmel</t>
  </si>
  <si>
    <t>228</t>
  </si>
  <si>
    <t>783783201</t>
  </si>
  <si>
    <t>Nátěry tesařských konstrukcí proti ohni stupeň požární odolnosti B (nesnadno hořlavý)</t>
  </si>
  <si>
    <t>229</t>
  </si>
  <si>
    <t>783783311</t>
  </si>
  <si>
    <t>Nátěry tesařských kcí proti dřevokazným houbám, hmyzu a plísním preventivní dvojnásobné v interiéru s mechanickým očištěním</t>
  </si>
  <si>
    <t>230</t>
  </si>
  <si>
    <t>783201811</t>
  </si>
  <si>
    <t>Odstranění nátěrů z konstrukcí oškrabáním</t>
  </si>
  <si>
    <t>784</t>
  </si>
  <si>
    <t>Dokončovací práce - malby</t>
  </si>
  <si>
    <t>231</t>
  </si>
  <si>
    <t>784424271</t>
  </si>
  <si>
    <t>Malby vápenné tónované dvojnásobné se začištěním a 2x pačokováním v místnostech v do 3,8 m</t>
  </si>
  <si>
    <t>"schodiště" (2,09+2,60*2)*(4,90+6,30)/2</t>
  </si>
  <si>
    <t>"čm.2.1" (4,50+1,69)*2*2,75-(1,0+0,90+0,80)*2,10-0,95*2,75</t>
  </si>
  <si>
    <t>"čm.2.2" (5,50+5,00)*2*2,75-0,80*2,10-1,30*1,50*2</t>
  </si>
  <si>
    <t>"čm.2.3" (5,16+3,65)*2*2,75-0,80*2,10</t>
  </si>
  <si>
    <t>"čm.2.4 a 2.8" (3,25+4,40)*2*2,75-(1,60+0,7*2+0,80+1,00)*2,10</t>
  </si>
  <si>
    <t>"čm.2.5" (1,17+1,2)*2*(2,75-1,20)-0,70*(2,75-2,10)</t>
  </si>
  <si>
    <t>"čm.2.6" (1,68+2,80)*2*(2,75-2,00)</t>
  </si>
  <si>
    <t>"čm.2.7" 5,585*(1,20+4,45)/2*2+5,75*(1,20+4,45)</t>
  </si>
  <si>
    <t>"čm.2.10" (5,05+1,85)*2*2,60-(0,70*2+0,80*3)*2,10-2,09*2,60</t>
  </si>
  <si>
    <t>"čm.2.11" 3,015*1,83+2,0*2*2,94+3,30*1,20+6,45*2*(2,94+1,20)/2*2-0,80*2,10</t>
  </si>
  <si>
    <t>"čm.2.12" 3,50*(1,20+2,50)+4,45*(1,20+2,50)/2*2-0,80*2,10</t>
  </si>
  <si>
    <t>"čm.2.13" (3,58+4,105)*2*(2,15+1,30)/2-0,80*2,10</t>
  </si>
  <si>
    <t>"čm.2.14" (3,00+3,87+0,305)*2*((1,73+2,65)/2-2,00)</t>
  </si>
  <si>
    <t>"čm.2.15" (1,73+1,265)*2*(2,715-1,20)-0,70*(2,10-1,20)</t>
  </si>
  <si>
    <t>podhledy</t>
  </si>
  <si>
    <t xml:space="preserve">podkroví </t>
  </si>
  <si>
    <t>25-M</t>
  </si>
  <si>
    <t>Ostatní náklady spojené se stavbou</t>
  </si>
  <si>
    <t>232</t>
  </si>
  <si>
    <t>925</t>
  </si>
  <si>
    <t>925001</t>
  </si>
  <si>
    <t>Stavebně technický průzkum</t>
  </si>
  <si>
    <t>233</t>
  </si>
  <si>
    <t>241</t>
  </si>
  <si>
    <t>925002</t>
  </si>
  <si>
    <t>234</t>
  </si>
  <si>
    <t>925003</t>
  </si>
  <si>
    <t>Projekt skutečného provedení</t>
  </si>
  <si>
    <t>235</t>
  </si>
  <si>
    <t>925004</t>
  </si>
  <si>
    <t>Měření a zkoušky potřebné ke kolaudaci</t>
  </si>
  <si>
    <t>925005</t>
  </si>
  <si>
    <t>Stavební zábory v době rekonstrukce</t>
  </si>
  <si>
    <t>plocha stropní konstrukce na plechu</t>
  </si>
  <si>
    <t>448</t>
  </si>
  <si>
    <t>strop</t>
  </si>
  <si>
    <t>194,65</t>
  </si>
  <si>
    <t>skladba střechy S1</t>
  </si>
  <si>
    <t>302,134</t>
  </si>
  <si>
    <t>okna</t>
  </si>
  <si>
    <t>Plocha střešních oken</t>
  </si>
  <si>
    <t>8,5</t>
  </si>
  <si>
    <t>střecha</t>
  </si>
  <si>
    <t>plocha původní střechy s krytinou</t>
  </si>
  <si>
    <t>234,619</t>
  </si>
  <si>
    <t>skladba podlahy P2</t>
  </si>
  <si>
    <t>10,68</t>
  </si>
  <si>
    <t>skladba podlahy P1</t>
  </si>
  <si>
    <t>17,66</t>
  </si>
  <si>
    <t>skladba podlahy P6</t>
  </si>
  <si>
    <t>23,73</t>
  </si>
  <si>
    <t>skladba podlahy P7</t>
  </si>
  <si>
    <t>136,18</t>
  </si>
  <si>
    <t>skladba podlahy P3</t>
  </si>
  <si>
    <t>17,22</t>
  </si>
  <si>
    <t>skladba podlahy P4</t>
  </si>
  <si>
    <t>63,78</t>
  </si>
  <si>
    <t>skladba podlahy P5</t>
  </si>
  <si>
    <t>64,85</t>
  </si>
  <si>
    <t>St9a</t>
  </si>
  <si>
    <t>přizdívka St9a</t>
  </si>
  <si>
    <t>6,84</t>
  </si>
  <si>
    <t>St11a</t>
  </si>
  <si>
    <t>přizdívka St11a</t>
  </si>
  <si>
    <t>1,54</t>
  </si>
  <si>
    <t>St6</t>
  </si>
  <si>
    <t>přizdívka St6</t>
  </si>
  <si>
    <t>St5</t>
  </si>
  <si>
    <t>přizdívka St5</t>
  </si>
  <si>
    <t>St7</t>
  </si>
  <si>
    <t>skladba přizdívky St7</t>
  </si>
  <si>
    <t>6,05</t>
  </si>
  <si>
    <t>St2</t>
  </si>
  <si>
    <t>skladba přizdívky St2</t>
  </si>
  <si>
    <t>7,375</t>
  </si>
  <si>
    <t>St4</t>
  </si>
  <si>
    <t>přizdívka St4</t>
  </si>
  <si>
    <t>5,275</t>
  </si>
  <si>
    <t>St1</t>
  </si>
  <si>
    <t>skladba přizdívky St1</t>
  </si>
  <si>
    <t>41,049</t>
  </si>
  <si>
    <t>St10</t>
  </si>
  <si>
    <t>přizdívka St10</t>
  </si>
  <si>
    <t>13,426</t>
  </si>
  <si>
    <t>St11b</t>
  </si>
  <si>
    <t>přizdívka St11b</t>
  </si>
  <si>
    <t>6,001</t>
  </si>
  <si>
    <t>St9b</t>
  </si>
  <si>
    <t>přizdívka St9b</t>
  </si>
  <si>
    <t>7,013</t>
  </si>
  <si>
    <t>St3</t>
  </si>
  <si>
    <t>skladba přizdívky St3</t>
  </si>
  <si>
    <t>11,13</t>
  </si>
  <si>
    <t>TECHNICKÝ POPIS</t>
  </si>
  <si>
    <t xml:space="preserve">REFERENČNÍ VÝROBCE </t>
  </si>
  <si>
    <t>TYP</t>
  </si>
  <si>
    <t>POČET M.J.</t>
  </si>
  <si>
    <t>CENA M.J.</t>
  </si>
  <si>
    <t>MONTÁŽ M.J.</t>
  </si>
  <si>
    <t>SILNOPROUD</t>
  </si>
  <si>
    <t>ROZVADĚČ A DODÁVKA</t>
  </si>
  <si>
    <t>CELKEM</t>
  </si>
  <si>
    <t>1.1</t>
  </si>
  <si>
    <t>Rozváděč RB, plastový pod omítku, 1x hlavní vypínač 32A,3xpřep.ochrana B+C,3x jistič přep.ochrany 4A,1x proud.chránič 25/4/0,03A,3x jistič 10A/1,15x jistič 16A/1,1x jistič 20A/1, 2x jistič 16A/3</t>
  </si>
  <si>
    <t>36 M, IP 40</t>
  </si>
  <si>
    <t>HAGER</t>
  </si>
  <si>
    <t>VF412PD</t>
  </si>
  <si>
    <t>ks</t>
  </si>
  <si>
    <t>1.2</t>
  </si>
  <si>
    <t>1.3</t>
  </si>
  <si>
    <t>Přihlášení elektroměru na PRE a.s.</t>
  </si>
  <si>
    <t>1.4</t>
  </si>
  <si>
    <t>1.5</t>
  </si>
  <si>
    <t>1.6</t>
  </si>
  <si>
    <t>1.7</t>
  </si>
  <si>
    <t>SVĚTELNÁ INSTALACE</t>
  </si>
  <si>
    <t>2.1</t>
  </si>
  <si>
    <t>Kabel CYKY</t>
  </si>
  <si>
    <t>3J x 1,5</t>
  </si>
  <si>
    <t>2.2</t>
  </si>
  <si>
    <t>3O x 1,5</t>
  </si>
  <si>
    <t>2.3</t>
  </si>
  <si>
    <t>Krabice univerzální  pro montáž spínačů</t>
  </si>
  <si>
    <t>KOPOS</t>
  </si>
  <si>
    <t>KU 68</t>
  </si>
  <si>
    <t>2.4</t>
  </si>
  <si>
    <t>Spínač jednopolový vč.krytu</t>
  </si>
  <si>
    <t>10A/250V,50Hz</t>
  </si>
  <si>
    <t>ABB</t>
  </si>
  <si>
    <t>TANGO BÍLÁ</t>
  </si>
  <si>
    <t>2.5</t>
  </si>
  <si>
    <t>Spínač střídavý vč.krytu</t>
  </si>
  <si>
    <t>2.6</t>
  </si>
  <si>
    <t>Spínač seriový vč.krytu</t>
  </si>
  <si>
    <t>2.7</t>
  </si>
  <si>
    <t>Spínač křížový vč.krytu</t>
  </si>
  <si>
    <t>2.8</t>
  </si>
  <si>
    <t>Spínač dvojitý střídavý vč.krytu</t>
  </si>
  <si>
    <t>2.9</t>
  </si>
  <si>
    <t>Spínač tlačítkový s doutnavkou vč. krytu</t>
  </si>
  <si>
    <t>2.10</t>
  </si>
  <si>
    <t>Rámeček pro zásuvkové a spínací přístroje-jednonásobný</t>
  </si>
  <si>
    <t>2.11</t>
  </si>
  <si>
    <t>Rámeček pro zásuvkové a spínací přístroje-dvojnásobný</t>
  </si>
  <si>
    <t>2.12</t>
  </si>
  <si>
    <t>Rámeček pro zásuvkové a spínací přístroje-trojnásobný</t>
  </si>
  <si>
    <t>2.13</t>
  </si>
  <si>
    <t>Rámeček pro zásuvkové a spínací přístroje-čtyřnásobný</t>
  </si>
  <si>
    <t>2.14</t>
  </si>
  <si>
    <t>Trubka do betonu</t>
  </si>
  <si>
    <t>63mm</t>
  </si>
  <si>
    <t>UNIVOLT</t>
  </si>
  <si>
    <t>FXP</t>
  </si>
  <si>
    <t>2.15</t>
  </si>
  <si>
    <t>25mm</t>
  </si>
  <si>
    <t>2.16</t>
  </si>
  <si>
    <t>Krabice odbočovací vč.svorkovnice</t>
  </si>
  <si>
    <t>pr.68mm</t>
  </si>
  <si>
    <t>ZÁSUVKOVÁ INSTALACE</t>
  </si>
  <si>
    <t>3.1</t>
  </si>
  <si>
    <t>3J x 2,5</t>
  </si>
  <si>
    <t>Kablo Kladno a.s.</t>
  </si>
  <si>
    <t>3.2</t>
  </si>
  <si>
    <t>Krabice univerzální  pro montáž zásuvek do dutých příček</t>
  </si>
  <si>
    <t>KU 68/L</t>
  </si>
  <si>
    <t>3.3</t>
  </si>
  <si>
    <t>Zásuvka jednonásobná s ochranným kolíkem vč.krytu</t>
  </si>
  <si>
    <t>16A/250V,50Hz</t>
  </si>
  <si>
    <t>3.4</t>
  </si>
  <si>
    <t>Zásuvka jednonásobná s přepěťovou ochranou s ochranným kolíkem vč.krytu a jednoduchého rámečku</t>
  </si>
  <si>
    <t>3.5</t>
  </si>
  <si>
    <t>16A/250V,50Hz. Ip44</t>
  </si>
  <si>
    <t>3.6</t>
  </si>
  <si>
    <t>Sporáková instalační krabice, bílá</t>
  </si>
  <si>
    <t>16A/400V,50Hz</t>
  </si>
  <si>
    <t>ABB Elektro Praga s.r.o.</t>
  </si>
  <si>
    <t>3938C-A102</t>
  </si>
  <si>
    <t>3.7</t>
  </si>
  <si>
    <t>3.8</t>
  </si>
  <si>
    <t>TECHNOLOGICKÉ INSTALACE</t>
  </si>
  <si>
    <t>4.1</t>
  </si>
  <si>
    <t>Kabel CYKY (napojení k RE)</t>
  </si>
  <si>
    <t>4 x 10</t>
  </si>
  <si>
    <t>4.2</t>
  </si>
  <si>
    <t>Kabel CYKY (sporák, vnitřní tepelné čerpadlo)</t>
  </si>
  <si>
    <t>5J x 2,5</t>
  </si>
  <si>
    <t>4.3</t>
  </si>
  <si>
    <t>Kabel CYKY (el.podlahové rohože)</t>
  </si>
  <si>
    <t>4.4</t>
  </si>
  <si>
    <t>Kabel CYKY (propojení vnitřní a venkovní jednotky tepelného čerpadla)</t>
  </si>
  <si>
    <t>3J x 4</t>
  </si>
  <si>
    <t>4.5</t>
  </si>
  <si>
    <t>Kabel CYKY (žaluzie)</t>
  </si>
  <si>
    <t>5J x 1,5</t>
  </si>
  <si>
    <t>4.6</t>
  </si>
  <si>
    <t>PRAFlaDur E90</t>
  </si>
  <si>
    <t>PRAKAB</t>
  </si>
  <si>
    <t>4.7</t>
  </si>
  <si>
    <t>4x2x0,8</t>
  </si>
  <si>
    <t>4.8</t>
  </si>
  <si>
    <t>2x2x0,8</t>
  </si>
  <si>
    <t>4.9</t>
  </si>
  <si>
    <t>Kabel JYTY(propojení vnitřních jednotek chlazení a vnitřní jednotky)</t>
  </si>
  <si>
    <t>2x1,0</t>
  </si>
  <si>
    <t>4.10</t>
  </si>
  <si>
    <t>Krabice univerzální  pro montáž ovladačů a termostatů</t>
  </si>
  <si>
    <t>KU68</t>
  </si>
  <si>
    <t>4.11</t>
  </si>
  <si>
    <t>Ovladač žaluzií</t>
  </si>
  <si>
    <t>4.12</t>
  </si>
  <si>
    <t>Programovatelný týdenní termostat vč. podlahového čidla</t>
  </si>
  <si>
    <t>DEVI</t>
  </si>
  <si>
    <t>4.13</t>
  </si>
  <si>
    <t>Podlahová rohož do koupelen - 3m2</t>
  </si>
  <si>
    <t>160W/m2</t>
  </si>
  <si>
    <t>4.14</t>
  </si>
  <si>
    <t>Podlahová rohož do koupelen - 8m2</t>
  </si>
  <si>
    <t>4.15</t>
  </si>
  <si>
    <t>Vodič CY (pospojení)</t>
  </si>
  <si>
    <t>4.16</t>
  </si>
  <si>
    <t>4.17</t>
  </si>
  <si>
    <t>Vodič CY (pospojení – nové RB + STA)</t>
  </si>
  <si>
    <t>4.18</t>
  </si>
  <si>
    <t>Svorka Bernard vč. Cu pásku</t>
  </si>
  <si>
    <t>Vysočina s.r.o.</t>
  </si>
  <si>
    <t>4.19</t>
  </si>
  <si>
    <t>Krabice pro pospojení vč svorkovnice</t>
  </si>
  <si>
    <t>KO125 E + EPS2</t>
  </si>
  <si>
    <t>KOPOS Kolín a.s.</t>
  </si>
  <si>
    <t>4.20</t>
  </si>
  <si>
    <t>OSVĚTLOVACÍ TĚLESA - DLE ARCH. NÁVRHU</t>
  </si>
  <si>
    <t>5.1</t>
  </si>
  <si>
    <t>Svorka trojdílná elektroinstalační</t>
  </si>
  <si>
    <t>WAGO</t>
  </si>
  <si>
    <t>SPOLEČNÉ POLOŽKY - SILNOPROUD</t>
  </si>
  <si>
    <t>6.1</t>
  </si>
  <si>
    <t>Stavební přípomoce spol. prostory – sekání drážek, zaházení, začištění, štukování, výmalba</t>
  </si>
  <si>
    <t>100 mm x 50 mm</t>
  </si>
  <si>
    <t>6.2</t>
  </si>
  <si>
    <t>Úprava hromosvodu - připojení oken, nového oplechování, anténního stožáru</t>
  </si>
  <si>
    <t>6.3</t>
  </si>
  <si>
    <t>Dokumentace dodavatelská a skutečného provedení ve 3 paré</t>
  </si>
  <si>
    <t>SLABOPROUD</t>
  </si>
  <si>
    <t>TEL – telefonní rozvody, SKS – strukturovaná kabeláž</t>
  </si>
  <si>
    <t>Kabel U/UTP Cat.5e 4x2xAWG24, PVC plášť modrý</t>
  </si>
  <si>
    <t>SCHRACK</t>
  </si>
  <si>
    <t>HSEKU424P1</t>
  </si>
  <si>
    <t>Dvojzásuvka CAT 5 UTP kompletní</t>
  </si>
  <si>
    <t>Krabice univerzální  pro montáž zásuvek</t>
  </si>
  <si>
    <t>Konektor RJ 45 krimpovací včetně krytky</t>
  </si>
  <si>
    <t>Krabice odbočovací s víkem</t>
  </si>
  <si>
    <t>KO97</t>
  </si>
  <si>
    <t>Spojka na 2 x RJ-45</t>
  </si>
  <si>
    <t xml:space="preserve">Trubka </t>
  </si>
  <si>
    <t>1.8</t>
  </si>
  <si>
    <t>Měření kabeláže včetně měřícího protokolu</t>
  </si>
  <si>
    <t>RK – rozvodná krabice bytová</t>
  </si>
  <si>
    <t>Krabice KT250 s víkem</t>
  </si>
  <si>
    <t>Zařízení autonomní detekce a signalizace požáru dle vyhlášky 23/2008</t>
  </si>
  <si>
    <t>Optický detektor kouře autonomní s akustickou signalizací</t>
  </si>
  <si>
    <t>EN 54-7</t>
  </si>
  <si>
    <t>Baterie pro napájení autonomního detektoru</t>
  </si>
  <si>
    <t>Stavební přípomoce</t>
  </si>
  <si>
    <t>100 mm x 30 mm</t>
  </si>
  <si>
    <t>DODÁVKA IVAR</t>
  </si>
  <si>
    <t>Tepelné čerpadlo vzduch/voda IVAR.HP.EHPoca 8-12MTK
Vnitřní a venkovní jednotka včetně regulace, elektrické topné těleso 6kW</t>
  </si>
  <si>
    <t>Trojcestný přepínací ventil IVAR.525-25 EMV včetně servopohonu-KIT 066072</t>
  </si>
  <si>
    <t>Akumulační nádoba IVAR.PUFFER PSS 100, o objemu 126l</t>
  </si>
  <si>
    <t>Nepřímotopný zásobníkový ohřívač vody IVAR.Prestige EP200
S plochou výměníku 2m2</t>
  </si>
  <si>
    <t>Regulace chlazení v návaznosti na chod zdroje-dodávka TČ</t>
  </si>
  <si>
    <t>Prostorový termostat s týdenním programem Elekrobock PT32 GST
S integrovaným modulem pro ovládání pomocí GSM</t>
  </si>
  <si>
    <t>Expanzní nádoba Reflex NG 25/6</t>
  </si>
  <si>
    <t>Trubky měď</t>
  </si>
  <si>
    <t>12x1</t>
  </si>
  <si>
    <t>bm</t>
  </si>
  <si>
    <t>15x1</t>
  </si>
  <si>
    <t>18x1</t>
  </si>
  <si>
    <t>22x1</t>
  </si>
  <si>
    <t>28x1</t>
  </si>
  <si>
    <t>35x1,5</t>
  </si>
  <si>
    <t>izolace na bázi polyetylenu – Tubolit DG-tl.13mm</t>
  </si>
  <si>
    <t>13x12</t>
  </si>
  <si>
    <t>13x15</t>
  </si>
  <si>
    <t>13x18</t>
  </si>
  <si>
    <t>13x22</t>
  </si>
  <si>
    <t>izolace na bázi polyetylenu – Tubolit DG-tl.20mm</t>
  </si>
  <si>
    <t>20x28</t>
  </si>
  <si>
    <t>20x35</t>
  </si>
  <si>
    <t>Izolace z EPDM odolná vůči UV záření</t>
  </si>
  <si>
    <t>12x19</t>
  </si>
  <si>
    <t>Kulový kohout</t>
  </si>
  <si>
    <t>DN15</t>
  </si>
  <si>
    <t>DN20</t>
  </si>
  <si>
    <t>DN25</t>
  </si>
  <si>
    <t>DN32</t>
  </si>
  <si>
    <t>Filtr</t>
  </si>
  <si>
    <t>Zpětná klapka</t>
  </si>
  <si>
    <t>Oběhové čerpadlo DAB. Evosta 40-70</t>
  </si>
  <si>
    <t>Vypouštěcí kohout-DN15</t>
  </si>
  <si>
    <t>Automatický odvzdušňovací ventil</t>
  </si>
  <si>
    <t>Dvířka 300/300</t>
  </si>
  <si>
    <t>Dodávka Heimeier</t>
  </si>
  <si>
    <t>termostatické hlavice – Heimeier typ DX</t>
  </si>
  <si>
    <t>dvojitý kulový kohout Vekolux DN15-rohový</t>
  </si>
  <si>
    <t>radiátorový ventil s dvoubodovým připojením
Heimeier typ MULTILUX-DN15-rohový</t>
  </si>
  <si>
    <t>Regulační šroubení Regulux-DN15-přímé</t>
  </si>
  <si>
    <t>Otopná tělesa  Korado</t>
  </si>
  <si>
    <t>Koralux Linear Comfort se středovým připojením M</t>
  </si>
  <si>
    <t>KLTM 1820x450</t>
  </si>
  <si>
    <t>Radik VK s integrovaným ventilem</t>
  </si>
  <si>
    <t>Typ 22, výška 500</t>
  </si>
  <si>
    <t>délka 1400mm</t>
  </si>
  <si>
    <t>délka 1200mm</t>
  </si>
  <si>
    <t>Radik VKU s integrovaným ventilem-levé přípojení</t>
  </si>
  <si>
    <t>typ 22, výška 600</t>
  </si>
  <si>
    <t>délka 1100mm</t>
  </si>
  <si>
    <t>Typ 33, výška 600</t>
  </si>
  <si>
    <t>délka 1800mm</t>
  </si>
  <si>
    <t>Chladící jednotky Fancoily IVAR</t>
  </si>
  <si>
    <t>Fancoil Silence EGWW 07</t>
  </si>
  <si>
    <t>Fancoil Silence EGWW 10</t>
  </si>
  <si>
    <t>Soklová lišta HZ-pro trubky do 22mm, včetně objímek zakončení a spojovníků</t>
  </si>
  <si>
    <t>přípojka pro otopné těleso dvoudílná pro pájení HKU-15</t>
  </si>
  <si>
    <t>Drobný kotevní a montážní materiál</t>
  </si>
  <si>
    <t>Montáž, včetně tlakových zkoušek, revizí a spuštění tepelného čerpadla</t>
  </si>
  <si>
    <t>Celková dodávka</t>
  </si>
  <si>
    <t>VÝPIS MATERIÁLU –  VNITŘNÍ PLYNOVOD</t>
  </si>
  <si>
    <t>Ocelové trubky se zaručitelnou svařitelností tř. 11 353.0</t>
  </si>
  <si>
    <t>DN40 (chránička)</t>
  </si>
  <si>
    <t>Zátka DN32</t>
  </si>
  <si>
    <t>Kulový kohout R 950-DN32</t>
  </si>
  <si>
    <t>Souprava pro osazení dvouhrdlého plynoměru rozteče 100mm, DN25</t>
  </si>
  <si>
    <t>Plynoměr G4 - dodávkou plynáren</t>
  </si>
  <si>
    <t>Tlaková zkouška vnitřního plynovodu, revize</t>
  </si>
  <si>
    <t>soubor</t>
  </si>
  <si>
    <t>Odvzdušnění a napuštění potrubí</t>
  </si>
  <si>
    <t>Nátěry potrubí do DN50</t>
  </si>
  <si>
    <t xml:space="preserve">ZAŘIZOVACÍ PŘEDMĚTY </t>
  </si>
  <si>
    <t>V</t>
  </si>
  <si>
    <t>Vana  170 x 70 cm, vč. nožiček</t>
  </si>
  <si>
    <t>Vanová páková stojánková baterie vč. sprchového příslušenství</t>
  </si>
  <si>
    <t>Odpadní souprava – DN50</t>
  </si>
  <si>
    <t>Dřez nerezový vestavný</t>
  </si>
  <si>
    <t>Dřezový sifon</t>
  </si>
  <si>
    <t>Dřezová stojánková jednopáková baterie</t>
  </si>
  <si>
    <t>WC</t>
  </si>
  <si>
    <t xml:space="preserve">závěsný klozet  </t>
  </si>
  <si>
    <t xml:space="preserve">Klozetové sedátko  </t>
  </si>
  <si>
    <t>WC-modul včetně ovládací desky a zvukoizolační soupravy</t>
  </si>
  <si>
    <t>U</t>
  </si>
  <si>
    <t>Umyvadlo 45cm s otvorem</t>
  </si>
  <si>
    <t>Montážní příslušenství – šrouby</t>
  </si>
  <si>
    <t xml:space="preserve">Umyvadlová stojánková jednopáková baterie </t>
  </si>
  <si>
    <t>Umyvadlový sifon -  (pro automatickou výpust)</t>
  </si>
  <si>
    <t>Um</t>
  </si>
  <si>
    <t>Umyvátko 35cm s otvorem</t>
  </si>
  <si>
    <t>S</t>
  </si>
  <si>
    <t>Sprchová vanička čtverec 900x900mm</t>
  </si>
  <si>
    <t xml:space="preserve">Sprchová zástěna 900mm – jedna stěna </t>
  </si>
  <si>
    <t xml:space="preserve">Odtoková souprava sprchové vaničky </t>
  </si>
  <si>
    <t>Sprchová nástěnná baterie včetně sprchové hlavice</t>
  </si>
  <si>
    <t>montáže</t>
  </si>
  <si>
    <t>KANALIZACE</t>
  </si>
  <si>
    <t>Podomítkový sifon pro pračky a myčky se zpětným uzávěrem a přivzdušňovacím ventilem - HL 404.1 - DN40/DN 50, krycí deska nerez</t>
  </si>
  <si>
    <t>Ventilační hlavice DN70 s aktivním uhlím</t>
  </si>
  <si>
    <t>Ventilační hlavice DN100 s aktivním uhlím</t>
  </si>
  <si>
    <t>Sifon pro pojistné ventily HL21</t>
  </si>
  <si>
    <t>Sifon pro VZT jednotky HL136N</t>
  </si>
  <si>
    <t>Potrubí PPR PN10</t>
  </si>
  <si>
    <t>Ø40x3,7</t>
  </si>
  <si>
    <t>Připojovací  a stoupací potrubí kanalizace - HT systém</t>
  </si>
  <si>
    <t>Hrdlová trubka HT 40</t>
  </si>
  <si>
    <t>Hrdlová trubka HT 50</t>
  </si>
  <si>
    <t>Hrdlová trubka HT 70</t>
  </si>
  <si>
    <t>Hrdlová trubka HT 100</t>
  </si>
  <si>
    <t>Zkouška těsnosti kanalizace  - kouřem</t>
  </si>
  <si>
    <t>VNITŘNÍ  VODOVOD</t>
  </si>
  <si>
    <t>Nepřímotopný zásobník TUV o objemu 200 litrů (dodávkou UT)</t>
  </si>
  <si>
    <t>Bytový vodoměr DN20 Qn = 1,5 m3/h</t>
  </si>
  <si>
    <t>Pračkoroháček 15/20 s filtrem a zpětným ventilem</t>
  </si>
  <si>
    <t>25x3,5</t>
  </si>
  <si>
    <t>32x4,4</t>
  </si>
  <si>
    <t>40x5,5</t>
  </si>
  <si>
    <t>25x4,2</t>
  </si>
  <si>
    <t>32x5,4</t>
  </si>
  <si>
    <t>Tvarovky, fitinky, zástřiky, přechody</t>
  </si>
  <si>
    <t>25 x 9</t>
  </si>
  <si>
    <t>32 x 9</t>
  </si>
  <si>
    <t>40 x 9</t>
  </si>
  <si>
    <t>25 x 13</t>
  </si>
  <si>
    <t>32 x 13</t>
  </si>
  <si>
    <t>Tlakové zkoušky</t>
  </si>
  <si>
    <t>Proplach a dezinfekce potrubí</t>
  </si>
  <si>
    <t>PARAMETR</t>
  </si>
  <si>
    <t>CENA CELKEM</t>
  </si>
  <si>
    <t>20.1.2015</t>
  </si>
  <si>
    <t>CELKEM VNITŘNÍ VODOVOD</t>
  </si>
  <si>
    <t>CELKEM KANALIZACE</t>
  </si>
  <si>
    <t>CELKEM ZAŘIZOVACÍ PŘEDMĚTY</t>
  </si>
  <si>
    <t>"zazdívka okna ve štítové zdi" 0,52*1,0*0,30</t>
  </si>
  <si>
    <t>"6.NP" 1,05*0,50*2,20+0,95*0,30*2,62</t>
  </si>
  <si>
    <t>1,25*0,465*2,25</t>
  </si>
  <si>
    <t>"nadezdívka půlštoku v 7.NP do dvora" 0,40*0,50*20,965/2</t>
  </si>
  <si>
    <t>"přizdění  mezi komíny" (2,70+3,15)*0,15*1,70/2</t>
  </si>
  <si>
    <t>"7.NP" (0,75+0,65)*0,465*(20,27-20,19+3,10)/2</t>
  </si>
  <si>
    <t>"nadezdívka štítových stěn" (4,05+3,35)*(5,13-2,90+3,00)/2*0,15/2</t>
  </si>
  <si>
    <t>"dvorní strana" 2,670*2,50-2,05*1,50</t>
  </si>
  <si>
    <t>"6.NP" (1,68*2,85-1,10*2,20)</t>
  </si>
  <si>
    <t>"od 22,45- 23,725" 2,10*0,48*(23,725-22,45)</t>
  </si>
  <si>
    <t>"od 21,85- 24,63" 2,375*0,465*(24,63-21,85)</t>
  </si>
  <si>
    <t>"24,63" (2,375+1,78)*0,465</t>
  </si>
  <si>
    <t>"23,725" 1,75*0,48</t>
  </si>
  <si>
    <t>"23,725" 2,10*0,48</t>
  </si>
  <si>
    <t>"6.NP - vstup do bytu" 3</t>
  </si>
  <si>
    <t>"7.NP" 4</t>
  </si>
  <si>
    <t>"6.NP"  4</t>
  </si>
  <si>
    <t>"6.NP"  4*2*1,30*6,40/1000</t>
  </si>
  <si>
    <t>"7.NP" 8*1,30*6,40/1000</t>
  </si>
  <si>
    <t>"I140" 51*14,40/1000/2</t>
  </si>
  <si>
    <t>"světlík 7.NP" (1,50+1,025)*(1,70+3,0)/2*2+0,70*1,70</t>
  </si>
  <si>
    <t>"tl. 40mm"2,40*(1,70+3,00)/2</t>
  </si>
  <si>
    <t>"přizdívka u schodiště" (2,325)*2,45</t>
  </si>
  <si>
    <t>"příčky 6.NP" (1,10+1,67+1,25+1,75+4,00+1,90)*2,75-(1,60+0,70*2+0,80+1,00)*2,10+2,20*(2,75+1,45)/2</t>
  </si>
  <si>
    <t>"světlík tl.100mm" (1,615*2+2,40)*(1,70+3,0)/2</t>
  </si>
  <si>
    <t>"tl. 175mm" (4,05)*2,85</t>
  </si>
  <si>
    <t>"tl. 100mm" (0,90+0,55)*2,85</t>
  </si>
  <si>
    <t>"tl. 120mm" (1,80+5,60)*2,85</t>
  </si>
  <si>
    <t>"tl. 175mm" 3,85*(0,70+2,10)/2</t>
  </si>
  <si>
    <t>"tl.100mm" (2,10*(3,31+2,50)/2+0,80*3,31+1,855*(3,31+1,95)/2)</t>
  </si>
  <si>
    <t>"přizdívka u WC" (1,05)*1,20</t>
  </si>
  <si>
    <t>"pro nosné prvky nového stropu 6.NP" 39</t>
  </si>
  <si>
    <t>"pro noséné prvky nového stropu 7.NP" 23</t>
  </si>
  <si>
    <t>"pro ocelové překlady nad otvory" 6</t>
  </si>
  <si>
    <t>"L75/50/5" (154+640)*4,75/1000/2</t>
  </si>
  <si>
    <t>"IPN 200" (230+143)*26,20/1000/2</t>
  </si>
  <si>
    <t>"IPN 180" (82,0+68,0)*21,90/1000/2</t>
  </si>
  <si>
    <t>"IPN 160" 15*17,90/1000/2</t>
  </si>
  <si>
    <t>"HEB 200" 6,0*61,30/1000/2</t>
  </si>
  <si>
    <t>(0,20*0,20+0,35*0,25)*20,85/2</t>
  </si>
  <si>
    <t>"7.NP" 4*1,30*0,135*0,135</t>
  </si>
  <si>
    <t>"6.NP"  (5)*1,30*0,135*0,135</t>
  </si>
  <si>
    <t>(0,20+0,25)*2*20,85/2</t>
  </si>
  <si>
    <t>"uvažováno 80kg/m3" 2,658*80/1000/2</t>
  </si>
  <si>
    <t>"tl. 175mm" (3,35)*2,85</t>
  </si>
  <si>
    <t>"příčky 6.NP" (1,68*2,85-1,10*2,20)*2</t>
  </si>
  <si>
    <t>"7.NP" 4*1,30*(0,15+0,30*2)</t>
  </si>
  <si>
    <t>"6.NP"  (4)*1,30*(0,15+0,30*2)</t>
  </si>
  <si>
    <t>"ostění oken včetně všech detailů"  ((2,05+1,50)*2+(1,30+1,50)*2*2)*0,20</t>
  </si>
  <si>
    <t>"dvorní fasáda" 22,45*1,00/2</t>
  </si>
  <si>
    <t>"od 22,45- 23,725" ((2,10)+(0,48*2))*2*(23,725-22,45)</t>
  </si>
  <si>
    <t>"od 21,85- 24,63" ((2,375+2,375)+0,465*2)*(24,63-21,85)</t>
  </si>
  <si>
    <t>"dvorní fasáda" (22,45*2,125-2,05*1,50*2+1,30*1,50*4)/2</t>
  </si>
  <si>
    <t>"ostění" ((2,05+1,50*2)+(1,30+1,50*2)*2)*0,15</t>
  </si>
  <si>
    <t>"skladba P1"7,53+2,50</t>
  </si>
  <si>
    <t>"skladba P2" (1,18+3,81)</t>
  </si>
  <si>
    <t>"skladba P6" 9,59+2,19</t>
  </si>
  <si>
    <t>"podlaha" 26,80</t>
  </si>
  <si>
    <t>"sokl" 16,05*0,10</t>
  </si>
  <si>
    <t>"skladba P3" 8,85</t>
  </si>
  <si>
    <t>"skladba P4" 26,07+18,64</t>
  </si>
  <si>
    <t>"skladba P5" 32,01</t>
  </si>
  <si>
    <t>"skladba P7" 13,02+25,66+14,83+14,67</t>
  </si>
  <si>
    <t>"6.NP" 7,53+26,07+18,64+8,85+1,18+3,81+29,40+2,50</t>
  </si>
  <si>
    <t>79,96+100,59</t>
  </si>
  <si>
    <t>"pilířky u světlíku" (1,20+1,40)*2*0,20</t>
  </si>
  <si>
    <t>"pilíř zděný" 0,465*2,20*(0,615)</t>
  </si>
  <si>
    <t>"atika" 0,25*0,18*22,40/2</t>
  </si>
  <si>
    <t>"půlštok na dvorní straně" 4,10*(17,57-17,16)*0,45</t>
  </si>
  <si>
    <t>"vnitřní stěny" (4,30+3,40)/2*5,20*0,25</t>
  </si>
  <si>
    <t>"strop vikýře" (14,40*5,75+6,60*4,00*2)*0,15/2</t>
  </si>
  <si>
    <t>4,0*5,15+6,80*1,67+2,705*0,60+7,5*4,0+6,3*5,60</t>
  </si>
  <si>
    <t>"okno ve štítové zdi" 0,42*0,80</t>
  </si>
  <si>
    <t>"400/1000" 1,00*0,425</t>
  </si>
  <si>
    <t>"1625/1820" 1,625*1,820*2</t>
  </si>
  <si>
    <t>0,87*2,070</t>
  </si>
  <si>
    <t>"pro ocelové překlady nad otvory" 3*2</t>
  </si>
  <si>
    <t>"odhad plochy" (21,50+1,50)*2*3,20/2</t>
  </si>
  <si>
    <t>11*30</t>
  </si>
  <si>
    <t>"skládka do 10km"(200,20*9)</t>
  </si>
  <si>
    <t>(418,14-5,578)/2</t>
  </si>
  <si>
    <t>"střecha plochá" (14,40*5,75+6,60*4,00*2+9,30*4,00)/2</t>
  </si>
  <si>
    <t>"tl. 175mm" (3,55)*2,85</t>
  </si>
  <si>
    <t>"tl. 120mm" (3,10)*2,85*2</t>
  </si>
  <si>
    <t>"tl. 175mm" (3,80)*(0,70+2,10)/2</t>
  </si>
  <si>
    <t>"tl.100mm" (2,05*(3,31+2,50)/2+0,80*3,31+1,855*(3,31+1,95)/2)</t>
  </si>
  <si>
    <t>"světlík tl.100mm" (1,465*2+1,490)*(1,70+3,0)/2</t>
  </si>
  <si>
    <t>"tl. 40mm"1,49*(1,70+3,00)/2</t>
  </si>
  <si>
    <t>"tl.120mm" 1,35*1,70</t>
  </si>
  <si>
    <t>((8,60+10,55)*22,45-1,525*1,685-1,395*1,69-0,60*0,60*11-1,35*2,45*10-0,80*1,30*2-9,90*7,85-(2,33*2+1,75*2+2,0+2,80)*0,465)/2</t>
  </si>
  <si>
    <t>0,16*3,14*9,0/2</t>
  </si>
  <si>
    <t>0,125*3,14*13,0/2</t>
  </si>
  <si>
    <t>"DN 125" 4,50+2,00</t>
  </si>
  <si>
    <t>"DN 150" 4,50</t>
  </si>
  <si>
    <t>"DN 150" 4,50/5,00</t>
  </si>
  <si>
    <t>"DN 125" (4,50+2,00)/5,00</t>
  </si>
  <si>
    <t>"pásek100/130" 1,50*3*2*(0,10+0,13)</t>
  </si>
  <si>
    <t>"kleštiny 80/150" 3,10*2*4*2*(0,08+0,15)</t>
  </si>
  <si>
    <t>"sloupek 150/150" 2,85*4*0,15*2</t>
  </si>
  <si>
    <t>"pásek 100/130" 1,00*2</t>
  </si>
  <si>
    <t>"kleština 80/150"  4,10*2</t>
  </si>
  <si>
    <t>"krovy 160/130" 6,50*5+7,70*7</t>
  </si>
  <si>
    <t>"vzpěra 130/160"  (3,90+2,80)</t>
  </si>
  <si>
    <t>"pozednice 160/120" 3,70</t>
  </si>
  <si>
    <t>"sloupek 150/150" 2,20</t>
  </si>
  <si>
    <t>"vaznice 150/180"  4,10</t>
  </si>
  <si>
    <t>"sloupek 150/150" 2,85*2</t>
  </si>
  <si>
    <t>"pásek100/130" 1,50*3</t>
  </si>
  <si>
    <t>"kleštiny 80/150" 3,10*2*4+1,90*19/2</t>
  </si>
  <si>
    <t>"krovy 120/180" (10,60*7*2+2,00*4+9,00*21+2,65*2+2,50*2+2,00*8+3,00*4)/2</t>
  </si>
  <si>
    <t>"vaznice 150/120"  2,80+3,60</t>
  </si>
  <si>
    <t>"vaznice150/180" 6,50</t>
  </si>
  <si>
    <t>"vaznice 180/240" 6,30/2+4,70</t>
  </si>
  <si>
    <t>"sloupek 150/150" 2,85*2*0,15*0,15</t>
  </si>
  <si>
    <t>"pásek100/130" 1,50*3*0,10*0,13</t>
  </si>
  <si>
    <t>"kleštiny 80/150" (3,10*2*4+1,90*19/2)*0,08*0,15</t>
  </si>
  <si>
    <t>"krovy 120/180" (10,60*7*2+2,00*4+9,00*21+2,65*2+2,50*2+2,00*8+3,00*4)/2*0,12*0,18</t>
  </si>
  <si>
    <t>"vaznice 150/120"  (2,80+3,60)*0,15*0,12</t>
  </si>
  <si>
    <t>"vaznice150/180" 6,50*0,15*0,18</t>
  </si>
  <si>
    <t>"vaznice 180/240" (6,30/2+4,70)*0,18*0,24</t>
  </si>
  <si>
    <t>(10,30*14,90+4,10*4,00*2)/2</t>
  </si>
  <si>
    <t>S1/2</t>
  </si>
  <si>
    <t>S1*1*0,04*0,06*1,10/2</t>
  </si>
  <si>
    <t>S1*4*0,04*0,06*1,10/2</t>
  </si>
  <si>
    <t>"uliční pohled" ((9,90+6,30)/2*3,35+6,30*4,35)</t>
  </si>
  <si>
    <t>"dvorní pohled" (4,10)*6,60</t>
  </si>
  <si>
    <t>5,475+1,995</t>
  </si>
  <si>
    <t>(2,20*(1,75+3,07)+5,45*(3,07+1,35)+1,22*(1,785+0,255*2)+0,70*1,21*2)/2</t>
  </si>
  <si>
    <t>"6.NP"7,53/2+26,07+18,64+8,85+2,50</t>
  </si>
  <si>
    <t>"7.NP" 13,02</t>
  </si>
  <si>
    <t>"6.NP" 1,18+3,81</t>
  </si>
  <si>
    <t>"7.NP" 2,18</t>
  </si>
  <si>
    <t>čm.2.10 2,09*2,70</t>
  </si>
  <si>
    <t>čm.2.11 3,02*2,70+3,285*6,78-1,35*2,45-0,60*0,60*2</t>
  </si>
  <si>
    <t>čm.2.12 3,50*4,40-1,35*2,45</t>
  </si>
  <si>
    <t>čm.2.13 3,575*4,40-1,35*2,45</t>
  </si>
  <si>
    <t>čm.1.13 3,87*2,70+1,73*0,80</t>
  </si>
  <si>
    <t>čm.2.14 3,87*2,70+1,73*0,80</t>
  </si>
  <si>
    <t>"uvažováno 15% plochy stávající plochy" (5,30*3,90+(2,30*5,30)/2)*2*0,15/2</t>
  </si>
  <si>
    <t>(0,50+1,80)*0,8</t>
  </si>
  <si>
    <t>(0,85*2+2,00)*0,50</t>
  </si>
  <si>
    <t>(2,50+0,50)*2*0,80</t>
  </si>
  <si>
    <t>(1,80+0,50)*2*0,80</t>
  </si>
  <si>
    <t>(1,40+1,80)*2*0,80</t>
  </si>
  <si>
    <t>(2,1+0,50*2+2,80)*2*0,80/2</t>
  </si>
  <si>
    <t>21,90+19,00</t>
  </si>
  <si>
    <t xml:space="preserve"> 2,05+1,30*2</t>
  </si>
  <si>
    <t>"světlík" 1,395*1,69</t>
  </si>
  <si>
    <t>(2,45+2,05+2,50)</t>
  </si>
  <si>
    <t>17*0,95</t>
  </si>
  <si>
    <t>(0,17+0,26)*0,95*17</t>
  </si>
  <si>
    <t>"sloupek 150/150" 2,85*4*(0,15+0,15)*2/2</t>
  </si>
  <si>
    <t>"pásek100/130" 1,50*3*2*(0,10+0,13)*2/2</t>
  </si>
  <si>
    <t>"kleštiny 80/150" (3,10*2*4*2+1,90*19)*(0,08+0,15)*2/2</t>
  </si>
  <si>
    <t>"krovy 120/180" (10,60*7*2+2,00*4+9,00*21+2,65*2+2,50*2+2,00*8+3,00*4)*(0,12+0,18)*2/2</t>
  </si>
  <si>
    <t>"vaznice 150/120"  (3,80+3,30+2,80+3,60)*(0,15+0,12)*2/2</t>
  </si>
  <si>
    <t>"vaznice150/180" 6,50*2*(0,15+0,18)*2/2</t>
  </si>
  <si>
    <t>"vaznice 180/240" (4,60+6,30+4,70)*(0,18+0,24)*2/2</t>
  </si>
  <si>
    <t>S1*1*(0,04+0,06)*2*1,10/2</t>
  </si>
  <si>
    <t>S1*4*(0,04+0,06)*2*1,10/2</t>
  </si>
  <si>
    <t>"střecha stávající plechová" (5,30*3,90+(2,30*5,30)/2)</t>
  </si>
  <si>
    <t>"schodiště" 18*(0,1772+0,26)*0,95</t>
  </si>
  <si>
    <t>"6.NP" 7,53+26,07+18,64+8,85+2,50</t>
  </si>
  <si>
    <t>Vytápění - samostatná část rozpočtu</t>
  </si>
  <si>
    <t>D1 dveře dřevěné vchodové se zárubní, zámky, závěsy, kováním a prahem natírané  90 x 197 cm, atyp specifikace dle PD</t>
  </si>
  <si>
    <t>762341810</t>
  </si>
  <si>
    <t>Kontrola zhlaví + obnova části lišt záklopu + nátěr zhlaví</t>
  </si>
  <si>
    <t xml:space="preserve">Kamerové zkoušky </t>
  </si>
  <si>
    <t>978013199</t>
  </si>
  <si>
    <t>Opatření proti zatečení v době odkrytí střešní konstrukce</t>
  </si>
  <si>
    <t>76799602</t>
  </si>
  <si>
    <t>D+M Pochozí lávky</t>
  </si>
  <si>
    <t>134867150</t>
  </si>
  <si>
    <t>tyč ocelová HEB, jakost S 235 JR označení průřezu 200</t>
  </si>
  <si>
    <t>133834300</t>
  </si>
  <si>
    <t>tyč ocelová IPE, značka oceli S 235 JR, označení průřezu 160</t>
  </si>
  <si>
    <t>Zdivo nosné vnitřní tl 240 mm pevnosti P 15 na MVC</t>
  </si>
  <si>
    <t>Zdivo nosné vnější tepelně izolační  tl 440 mm U = 0,20 W/m2K</t>
  </si>
  <si>
    <t>Zdivo nosné tl 250 mm z pórobetonových přesných hladkých tvárnic  hmotnosti 500 kg/m3</t>
  </si>
  <si>
    <t>překlad keramický plochý  PTH 11,5x7,1x100 cm</t>
  </si>
  <si>
    <t>překlad 7 z cihelných tvarovek   7x23,8x125 cm</t>
  </si>
  <si>
    <t>Překlady nenosné přímé z pórobetonu v příčkách tl 100 mm pro světlost otvoru do 1010 mm</t>
  </si>
  <si>
    <t>Obezdívka koupelnových van ploch rovných tl 75 mm z pórobetonových přesných příčkovek hladkých</t>
  </si>
  <si>
    <t>Přizdívky ochranné tl 50 mm z pórobetonových přesných příčkovek  objemové hmotnosti 500 kg/m3</t>
  </si>
  <si>
    <t>Přizdívky ochranné tl 100 mm z pórobetonových přesných příčkovek objemové hmotnosti 500 kg/m3</t>
  </si>
  <si>
    <t>Přizdívky ochranné tl 150 mm z pórobetonových přesných příčkovek objemové hmotnosti 500 kg/m3</t>
  </si>
  <si>
    <t>Přizdívky ochranné tl 180 mm z pórobetonových přesných hladkých tvárnic  hmotnosti 500 kg/m3</t>
  </si>
  <si>
    <t>deska podlahová 1250x600 mm  TDPT 25/25</t>
  </si>
  <si>
    <t>Radik VKL s integrovaným ventilem-levé přípojení</t>
  </si>
  <si>
    <t>Stavební přípomoce – sekání drážek, zaházení, začištění, štukování, výmalba</t>
  </si>
  <si>
    <t>Dílenská dokumentace , rozkreslení konstrukcí</t>
  </si>
  <si>
    <t>764311921</t>
  </si>
  <si>
    <t>Oprava Pz krytina hladká tabule 2000x1000 mm sklon do 30° plocha do 25 m2</t>
  </si>
  <si>
    <t>R764002</t>
  </si>
  <si>
    <t xml:space="preserve">Další klempířské prvky, dle PD </t>
  </si>
  <si>
    <t>Montáž OK křivka 2 do 500 kg</t>
  </si>
  <si>
    <t>430862001</t>
  </si>
  <si>
    <t>766694112</t>
  </si>
  <si>
    <t>Montáž parapetních desek dřevěných, laminovaných šířky do 30 cm délky do 1,6 m</t>
  </si>
  <si>
    <t>1*3</t>
  </si>
  <si>
    <t>607941020</t>
  </si>
  <si>
    <t>deska parapetní dřevotřísková vnitřní  0,26 x 1 m, specifikace dle PD</t>
  </si>
  <si>
    <t>2,05+1,30*2</t>
  </si>
  <si>
    <t>Oddělení stavby od společných prostor, zajištění přístupu a příjezdu do objektu</t>
  </si>
  <si>
    <t>925006</t>
  </si>
  <si>
    <t>Vnitřní ocelové interiérové schodiště s dřevěnými stupni, ocelovým zábradlím, kompletní funkční výrobek včetně všech detailů</t>
  </si>
  <si>
    <t>HROMOSVOD A UZEMNĚNÍ</t>
  </si>
  <si>
    <t>7.1</t>
  </si>
  <si>
    <t>Podpěra vodiče na stěnu včetně hmoždinek a vrutů, PV1pl-30</t>
  </si>
  <si>
    <t>7.2</t>
  </si>
  <si>
    <t>Ochranný úhelník FeZnm OU1,7m, 2x držák OÚ</t>
  </si>
  <si>
    <t>7.3</t>
  </si>
  <si>
    <t>Podpěra na hřeben PV15</t>
  </si>
  <si>
    <t>7.4</t>
  </si>
  <si>
    <t>Podpěra pod pálenou tašku PV11</t>
  </si>
  <si>
    <t>7.5</t>
  </si>
  <si>
    <t>Podpěra na kovové konstrukce PV32</t>
  </si>
  <si>
    <t>7.6</t>
  </si>
  <si>
    <t>Jímací tyč JT2,0,AlMgSi pr16mm, délka 2m</t>
  </si>
  <si>
    <t>7.7</t>
  </si>
  <si>
    <t>Izolační tyč ITJ68, 680mm pro jímací tyč</t>
  </si>
  <si>
    <t>7.8</t>
  </si>
  <si>
    <t>Izolační tyč ITJ68, 680mm pro vodič</t>
  </si>
  <si>
    <t>7.9</t>
  </si>
  <si>
    <t>Držák izolační tyče DOHT 7</t>
  </si>
  <si>
    <t>7.10</t>
  </si>
  <si>
    <t>Svorka jímací tyče SJ1</t>
  </si>
  <si>
    <t>7.11</t>
  </si>
  <si>
    <t>Vodič AlMgSi pr.8mm</t>
  </si>
  <si>
    <t>7.12</t>
  </si>
  <si>
    <t>Vodič FeZn pr.10mm</t>
  </si>
  <si>
    <t>7.13</t>
  </si>
  <si>
    <t>Vodič pásek FeZn 30x4mm</t>
  </si>
  <si>
    <t>7.14</t>
  </si>
  <si>
    <t>Svorka zkušební SZ(nerez)</t>
  </si>
  <si>
    <t>7.15</t>
  </si>
  <si>
    <t>Svorka spojovací SS(FeZn)</t>
  </si>
  <si>
    <t>7.16</t>
  </si>
  <si>
    <t>Svorka spojovací SR03 (FeZn)</t>
  </si>
  <si>
    <t>7.17</t>
  </si>
  <si>
    <t>Svorka okapová SO(nerez)</t>
  </si>
  <si>
    <t>7.18</t>
  </si>
  <si>
    <t>Svorka připojovací SP(FeZn)</t>
  </si>
  <si>
    <t>7.19</t>
  </si>
  <si>
    <t>Svorka okapová SK (FeZn)</t>
  </si>
  <si>
    <t>7.20</t>
  </si>
  <si>
    <t>Ochranná trubka PH29</t>
  </si>
  <si>
    <t>7.21</t>
  </si>
  <si>
    <t>Zemnící tyč FeZn ZT 2,0 se svorkou SR03b</t>
  </si>
  <si>
    <t>7.22</t>
  </si>
  <si>
    <t>Označovací štítek svodu</t>
  </si>
  <si>
    <t>7.23</t>
  </si>
  <si>
    <t>Montážní práce jímací soustavy</t>
  </si>
  <si>
    <t>hod</t>
  </si>
  <si>
    <t>7.24</t>
  </si>
  <si>
    <t>Revize hromosvodu, revizní zpráva</t>
  </si>
  <si>
    <t>7.25</t>
  </si>
  <si>
    <t>Položení zemnící soustavy, výkopy a rozebrání a vrácení na zpět dlažek dvorku</t>
  </si>
  <si>
    <t>Cenová soustava URS</t>
  </si>
  <si>
    <t xml:space="preserve">lak asfaltový </t>
  </si>
  <si>
    <t xml:space="preserve">Izolace proti zemní vlhkosti na vodorovné ploše těsnicí kaší </t>
  </si>
  <si>
    <t xml:space="preserve">Izolace proti zemní vlhkosti na svislé ploše těsnicí kaší </t>
  </si>
  <si>
    <t xml:space="preserve">izolace , 50/5-AR </t>
  </si>
  <si>
    <t xml:space="preserve">izolace 70/5-AR </t>
  </si>
  <si>
    <t xml:space="preserve">izolace 110/5-AR </t>
  </si>
  <si>
    <t>K. K. S vypouštěním  R 250DS-25</t>
  </si>
  <si>
    <t>K. K. rohový, 15/10</t>
  </si>
  <si>
    <t>Vodovodní potrubí - PP - typ 3  PN16</t>
  </si>
  <si>
    <t>Vodovodní potrubí - PP - typ 3  PN20</t>
  </si>
  <si>
    <t>Potrubní izolace síla stěny 9 mm</t>
  </si>
  <si>
    <t>Potrubní izolace  síla stěny 13 mm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</si>
</sst>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\ [$Kč-405];[Red]\-#,##0.00\ [$Kč-405]"/>
    <numFmt numFmtId="172" formatCode="General_)"/>
    <numFmt numFmtId="173" formatCode="#,##0\ [$Kč-405];\-#,##0\ [$Kč-405]"/>
    <numFmt numFmtId="174" formatCode="#,##0.00;\-#,##0.00;\-#"/>
    <numFmt numFmtId="175" formatCode="0.00000"/>
    <numFmt numFmtId="176" formatCode="0.0000"/>
    <numFmt numFmtId="177" formatCode="#,##0.0"/>
    <numFmt numFmtId="178" formatCode="#,##0.000_ ;\-#,##0.000\ "/>
    <numFmt numFmtId="179" formatCode="#,##0.00_ ;\-#,##0.00\ "/>
  </numFmts>
  <fonts count="6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3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172" fontId="25" fillId="0" borderId="0" applyFill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8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6" fontId="7" fillId="0" borderId="38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29" xfId="0" applyNumberFormat="1" applyFont="1" applyBorder="1" applyAlignment="1" applyProtection="1">
      <alignment horizontal="right" vertical="center"/>
      <protection/>
    </xf>
    <xf numFmtId="166" fontId="0" fillId="0" borderId="29" xfId="0" applyNumberFormat="1" applyFont="1" applyBorder="1" applyAlignment="1" applyProtection="1">
      <alignment horizontal="righ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1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165" fontId="3" fillId="0" borderId="44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44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3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3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39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168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2" fillId="0" borderId="0" xfId="47" applyFont="1" applyAlignment="1" applyProtection="1">
      <alignment horizontal="center" vertical="center"/>
      <protection locked="0"/>
    </xf>
    <xf numFmtId="0" fontId="24" fillId="0" borderId="0" xfId="47" applyFont="1" applyProtection="1">
      <alignment/>
      <protection locked="0"/>
    </xf>
    <xf numFmtId="0" fontId="23" fillId="0" borderId="0" xfId="47" applyFont="1" applyProtection="1">
      <alignment/>
      <protection locked="0"/>
    </xf>
    <xf numFmtId="0" fontId="23" fillId="0" borderId="0" xfId="47" applyFont="1" applyFill="1" applyProtection="1">
      <alignment/>
      <protection locked="0"/>
    </xf>
    <xf numFmtId="0" fontId="24" fillId="0" borderId="0" xfId="47" applyFont="1" applyFill="1" applyProtection="1">
      <alignment/>
      <protection locked="0"/>
    </xf>
    <xf numFmtId="0" fontId="23" fillId="35" borderId="0" xfId="47" applyFont="1" applyFill="1" applyProtection="1">
      <alignment/>
      <protection locked="0"/>
    </xf>
    <xf numFmtId="0" fontId="7" fillId="0" borderId="0" xfId="47" applyProtection="1">
      <alignment/>
      <protection locked="0"/>
    </xf>
    <xf numFmtId="49" fontId="7" fillId="0" borderId="0" xfId="47" applyNumberFormat="1" applyProtection="1">
      <alignment/>
      <protection locked="0"/>
    </xf>
    <xf numFmtId="0" fontId="7" fillId="0" borderId="0" xfId="47">
      <alignment/>
      <protection/>
    </xf>
    <xf numFmtId="0" fontId="24" fillId="36" borderId="0" xfId="47" applyFont="1" applyFill="1" applyBorder="1" applyAlignment="1" applyProtection="1">
      <alignment horizontal="center"/>
      <protection locked="0"/>
    </xf>
    <xf numFmtId="0" fontId="26" fillId="0" borderId="0" xfId="49" applyFont="1" applyAlignment="1">
      <alignment horizontal="left" wrapText="1"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 applyAlignment="1">
      <alignment horizontal="center" wrapText="1"/>
      <protection/>
    </xf>
    <xf numFmtId="0" fontId="0" fillId="0" borderId="0" xfId="49">
      <alignment/>
      <protection/>
    </xf>
    <xf numFmtId="0" fontId="27" fillId="0" borderId="0" xfId="49" applyFont="1" applyAlignment="1">
      <alignment horizontal="left" wrapText="1"/>
      <protection/>
    </xf>
    <xf numFmtId="0" fontId="26" fillId="0" borderId="0" xfId="49" applyFont="1">
      <alignment/>
      <protection/>
    </xf>
    <xf numFmtId="49" fontId="26" fillId="0" borderId="0" xfId="49" applyNumberFormat="1" applyFont="1">
      <alignment/>
      <protection/>
    </xf>
    <xf numFmtId="0" fontId="26" fillId="0" borderId="0" xfId="49" applyFont="1" applyAlignment="1">
      <alignment wrapText="1"/>
      <protection/>
    </xf>
    <xf numFmtId="0" fontId="27" fillId="0" borderId="0" xfId="49" applyFont="1">
      <alignment/>
      <protection/>
    </xf>
    <xf numFmtId="0" fontId="28" fillId="0" borderId="0" xfId="49" applyNumberFormat="1" applyFont="1" applyFill="1" applyBorder="1" applyAlignment="1">
      <alignment horizontal="left" wrapText="1"/>
      <protection/>
    </xf>
    <xf numFmtId="0" fontId="29" fillId="0" borderId="0" xfId="49" applyNumberFormat="1" applyFont="1" applyFill="1" applyBorder="1">
      <alignment/>
      <protection/>
    </xf>
    <xf numFmtId="0" fontId="29" fillId="0" borderId="0" xfId="49" applyNumberFormat="1" applyFont="1" applyFill="1" applyBorder="1" applyAlignment="1">
      <alignment horizontal="center"/>
      <protection/>
    </xf>
    <xf numFmtId="2" fontId="29" fillId="0" borderId="0" xfId="49" applyNumberFormat="1" applyFont="1" applyFill="1" applyBorder="1">
      <alignment/>
      <protection/>
    </xf>
    <xf numFmtId="0" fontId="29" fillId="0" borderId="0" xfId="49" applyNumberFormat="1" applyFont="1" applyFill="1" applyBorder="1" applyAlignment="1">
      <alignment horizontal="right"/>
      <protection/>
    </xf>
    <xf numFmtId="0" fontId="29" fillId="0" borderId="0" xfId="49" applyNumberFormat="1" applyFont="1" applyFill="1" applyBorder="1" applyAlignment="1">
      <alignment horizontal="left" wrapText="1"/>
      <protection/>
    </xf>
    <xf numFmtId="0" fontId="29" fillId="0" borderId="0" xfId="49" applyNumberFormat="1" applyFont="1" applyFill="1" applyBorder="1" applyAlignment="1">
      <alignment horizontal="center"/>
      <protection/>
    </xf>
    <xf numFmtId="0" fontId="0" fillId="0" borderId="0" xfId="49" applyFont="1">
      <alignment/>
      <protection/>
    </xf>
    <xf numFmtId="0" fontId="0" fillId="0" borderId="0" xfId="49" applyFont="1" applyAlignment="1">
      <alignment horizontal="center"/>
      <protection/>
    </xf>
    <xf numFmtId="171" fontId="29" fillId="0" borderId="0" xfId="49" applyNumberFormat="1" applyFont="1" applyFill="1" applyBorder="1" applyAlignment="1">
      <alignment horizontal="right"/>
      <protection/>
    </xf>
    <xf numFmtId="174" fontId="30" fillId="0" borderId="0" xfId="49" applyNumberFormat="1" applyFont="1" applyFill="1" applyBorder="1" applyAlignment="1">
      <alignment horizontal="center"/>
      <protection/>
    </xf>
    <xf numFmtId="0" fontId="29" fillId="0" borderId="0" xfId="49" applyNumberFormat="1" applyFont="1" applyFill="1" applyBorder="1" applyAlignment="1">
      <alignment horizontal="right"/>
      <protection/>
    </xf>
    <xf numFmtId="0" fontId="29" fillId="0" borderId="0" xfId="49" applyNumberFormat="1" applyFont="1" applyFill="1" applyBorder="1">
      <alignment/>
      <protection/>
    </xf>
    <xf numFmtId="174" fontId="31" fillId="0" borderId="0" xfId="49" applyNumberFormat="1" applyFont="1" applyFill="1" applyBorder="1" applyAlignment="1">
      <alignment horizontal="center"/>
      <protection/>
    </xf>
    <xf numFmtId="174" fontId="32" fillId="0" borderId="0" xfId="49" applyNumberFormat="1" applyFont="1" applyFill="1" applyBorder="1" applyAlignment="1">
      <alignment horizontal="center" vertical="center"/>
      <protection/>
    </xf>
    <xf numFmtId="174" fontId="32" fillId="0" borderId="0" xfId="49" applyNumberFormat="1" applyFont="1" applyFill="1" applyBorder="1" applyAlignment="1">
      <alignment horizontal="center"/>
      <protection/>
    </xf>
    <xf numFmtId="0" fontId="29" fillId="0" borderId="0" xfId="49" applyNumberFormat="1" applyFont="1" applyFill="1" applyBorder="1" applyAlignment="1">
      <alignment horizontal="left" vertical="center" wrapText="1"/>
      <protection/>
    </xf>
    <xf numFmtId="174" fontId="29" fillId="0" borderId="0" xfId="49" applyNumberFormat="1" applyFont="1" applyFill="1" applyBorder="1" applyAlignment="1">
      <alignment horizontal="center"/>
      <protection/>
    </xf>
    <xf numFmtId="0" fontId="32" fillId="0" borderId="0" xfId="49" applyNumberFormat="1" applyFont="1" applyFill="1" applyBorder="1" applyAlignment="1">
      <alignment horizontal="center"/>
      <protection/>
    </xf>
    <xf numFmtId="0" fontId="29" fillId="0" borderId="0" xfId="49" applyNumberFormat="1" applyFont="1" applyFill="1" applyBorder="1" applyAlignment="1">
      <alignment horizontal="right" wrapText="1"/>
      <protection/>
    </xf>
    <xf numFmtId="0" fontId="29" fillId="0" borderId="0" xfId="49" applyNumberFormat="1" applyFont="1" applyFill="1" applyBorder="1" applyAlignment="1">
      <alignment/>
      <protection/>
    </xf>
    <xf numFmtId="0" fontId="29" fillId="0" borderId="0" xfId="49" applyNumberFormat="1" applyFont="1" applyFill="1" applyBorder="1" applyAlignment="1">
      <alignment horizontal="right" vertical="center"/>
      <protection/>
    </xf>
    <xf numFmtId="0" fontId="29" fillId="0" borderId="0" xfId="49" applyNumberFormat="1" applyFont="1" applyFill="1" applyBorder="1" applyAlignment="1">
      <alignment horizontal="center" vertical="center"/>
      <protection/>
    </xf>
    <xf numFmtId="175" fontId="29" fillId="0" borderId="0" xfId="49" applyNumberFormat="1" applyFont="1" applyFill="1" applyBorder="1">
      <alignment/>
      <protection/>
    </xf>
    <xf numFmtId="176" fontId="29" fillId="0" borderId="0" xfId="49" applyNumberFormat="1" applyFont="1" applyFill="1" applyBorder="1">
      <alignment/>
      <protection/>
    </xf>
    <xf numFmtId="0" fontId="29" fillId="0" borderId="0" xfId="49" applyNumberFormat="1" applyFont="1" applyFill="1" applyBorder="1" applyAlignment="1">
      <alignment horizontal="left" wrapText="1"/>
      <protection/>
    </xf>
    <xf numFmtId="0" fontId="29" fillId="0" borderId="0" xfId="49" applyNumberFormat="1" applyFont="1" applyFill="1" applyBorder="1" applyAlignment="1">
      <alignment wrapText="1"/>
      <protection/>
    </xf>
    <xf numFmtId="0" fontId="13" fillId="33" borderId="0" xfId="0" applyFont="1" applyFill="1" applyAlignment="1" applyProtection="1">
      <alignment horizontal="left"/>
      <protection/>
    </xf>
    <xf numFmtId="4" fontId="3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4" fontId="3" fillId="33" borderId="0" xfId="0" applyNumberFormat="1" applyFont="1" applyFill="1" applyAlignment="1" applyProtection="1">
      <alignment horizontal="right" vertical="center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4" fontId="3" fillId="34" borderId="5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4" fontId="7" fillId="0" borderId="0" xfId="47" applyNumberFormat="1" applyProtection="1">
      <alignment/>
      <protection locked="0"/>
    </xf>
    <xf numFmtId="4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 vertical="center"/>
      <protection/>
    </xf>
    <xf numFmtId="4" fontId="3" fillId="34" borderId="59" xfId="0" applyNumberFormat="1" applyFont="1" applyFill="1" applyBorder="1" applyAlignment="1" applyProtection="1">
      <alignment vertical="center" wrapText="1"/>
      <protection/>
    </xf>
    <xf numFmtId="4" fontId="7" fillId="0" borderId="0" xfId="47" applyNumberFormat="1" applyAlignment="1" applyProtection="1">
      <alignment/>
      <protection locked="0"/>
    </xf>
    <xf numFmtId="49" fontId="3" fillId="33" borderId="0" xfId="0" applyNumberFormat="1" applyFont="1" applyFill="1" applyAlignment="1" applyProtection="1">
      <alignment horizontal="left" vertical="center"/>
      <protection/>
    </xf>
    <xf numFmtId="4" fontId="3" fillId="33" borderId="0" xfId="0" applyNumberFormat="1" applyFont="1" applyFill="1" applyAlignment="1" applyProtection="1">
      <alignment horizontal="left"/>
      <protection/>
    </xf>
    <xf numFmtId="4" fontId="3" fillId="33" borderId="0" xfId="0" applyNumberFormat="1" applyFont="1" applyFill="1" applyAlignment="1" applyProtection="1">
      <alignment horizontal="left" vertical="center"/>
      <protection/>
    </xf>
    <xf numFmtId="4" fontId="3" fillId="34" borderId="59" xfId="0" applyNumberFormat="1" applyFont="1" applyFill="1" applyBorder="1" applyAlignment="1" applyProtection="1">
      <alignment horizontal="center" vertical="center" wrapText="1"/>
      <protection/>
    </xf>
    <xf numFmtId="4" fontId="3" fillId="34" borderId="61" xfId="0" applyNumberFormat="1" applyFont="1" applyFill="1" applyBorder="1" applyAlignment="1" applyProtection="1">
      <alignment horizontal="center" vertical="center"/>
      <protection/>
    </xf>
    <xf numFmtId="4" fontId="26" fillId="0" borderId="0" xfId="49" applyNumberFormat="1" applyFont="1" applyAlignment="1">
      <alignment horizontal="center" wrapText="1"/>
      <protection/>
    </xf>
    <xf numFmtId="4" fontId="26" fillId="0" borderId="0" xfId="49" applyNumberFormat="1" applyFont="1">
      <alignment/>
      <protection/>
    </xf>
    <xf numFmtId="4" fontId="0" fillId="0" borderId="0" xfId="49" applyNumberFormat="1">
      <alignment/>
      <protection/>
    </xf>
    <xf numFmtId="0" fontId="29" fillId="0" borderId="0" xfId="49" applyNumberFormat="1" applyFont="1" applyFill="1" applyBorder="1" applyAlignment="1">
      <alignment vertical="center"/>
      <protection/>
    </xf>
    <xf numFmtId="2" fontId="29" fillId="0" borderId="0" xfId="49" applyNumberFormat="1" applyFont="1" applyFill="1" applyBorder="1" applyAlignment="1">
      <alignment vertical="center"/>
      <protection/>
    </xf>
    <xf numFmtId="4" fontId="29" fillId="0" borderId="0" xfId="49" applyNumberFormat="1" applyFont="1" applyFill="1" applyBorder="1" applyAlignment="1">
      <alignment horizontal="right"/>
      <protection/>
    </xf>
    <xf numFmtId="4" fontId="29" fillId="0" borderId="0" xfId="49" applyNumberFormat="1" applyFont="1" applyFill="1" applyBorder="1">
      <alignment/>
      <protection/>
    </xf>
    <xf numFmtId="4" fontId="29" fillId="0" borderId="0" xfId="49" applyNumberFormat="1" applyFont="1" applyFill="1" applyBorder="1" applyAlignment="1">
      <alignment horizontal="right"/>
      <protection/>
    </xf>
    <xf numFmtId="4" fontId="29" fillId="0" borderId="0" xfId="49" applyNumberFormat="1" applyFont="1" applyFill="1" applyBorder="1">
      <alignment/>
      <protection/>
    </xf>
    <xf numFmtId="4" fontId="29" fillId="0" borderId="0" xfId="49" applyNumberFormat="1" applyFont="1" applyFill="1" applyBorder="1" applyAlignment="1">
      <alignment horizontal="center"/>
      <protection/>
    </xf>
    <xf numFmtId="4" fontId="0" fillId="0" borderId="0" xfId="49" applyNumberFormat="1" applyFont="1">
      <alignment/>
      <protection/>
    </xf>
    <xf numFmtId="0" fontId="28" fillId="0" borderId="0" xfId="49" applyNumberFormat="1" applyFont="1" applyFill="1" applyBorder="1" applyAlignment="1">
      <alignment horizontal="right"/>
      <protection/>
    </xf>
    <xf numFmtId="0" fontId="28" fillId="0" borderId="0" xfId="49" applyNumberFormat="1" applyFont="1" applyFill="1" applyBorder="1" applyAlignment="1">
      <alignment horizontal="center"/>
      <protection/>
    </xf>
    <xf numFmtId="4" fontId="28" fillId="0" borderId="0" xfId="49" applyNumberFormat="1" applyFont="1" applyFill="1" applyBorder="1" applyAlignment="1">
      <alignment horizontal="right"/>
      <protection/>
    </xf>
    <xf numFmtId="0" fontId="8" fillId="0" borderId="0" xfId="49" applyFont="1">
      <alignment/>
      <protection/>
    </xf>
    <xf numFmtId="0" fontId="3" fillId="0" borderId="26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top"/>
      <protection/>
    </xf>
    <xf numFmtId="178" fontId="2" fillId="0" borderId="0" xfId="0" applyNumberFormat="1" applyFont="1" applyAlignment="1" applyProtection="1">
      <alignment horizontal="lef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79" fontId="9" fillId="0" borderId="0" xfId="0" applyNumberFormat="1" applyFont="1" applyAlignment="1" applyProtection="1">
      <alignment horizontal="left" vertical="center"/>
      <protection/>
    </xf>
    <xf numFmtId="0" fontId="9" fillId="37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0" fillId="0" borderId="0" xfId="0" applyNumberForma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6" fillId="0" borderId="0" xfId="50" applyFont="1" applyAlignment="1">
      <alignment horizontal="right"/>
      <protection/>
    </xf>
    <xf numFmtId="0" fontId="26" fillId="0" borderId="0" xfId="50" applyFont="1">
      <alignment/>
      <protection/>
    </xf>
    <xf numFmtId="0" fontId="26" fillId="0" borderId="0" xfId="49" applyFont="1" applyFill="1">
      <alignment/>
      <protection/>
    </xf>
    <xf numFmtId="0" fontId="12" fillId="0" borderId="0" xfId="47" applyFont="1" applyBorder="1" applyAlignment="1" applyProtection="1">
      <alignment horizontal="center" vertical="center"/>
      <protection locked="0"/>
    </xf>
    <xf numFmtId="0" fontId="24" fillId="0" borderId="0" xfId="47" applyFont="1" applyBorder="1" applyProtection="1">
      <alignment/>
      <protection locked="0"/>
    </xf>
    <xf numFmtId="0" fontId="23" fillId="0" borderId="0" xfId="47" applyFont="1" applyBorder="1" applyProtection="1">
      <alignment/>
      <protection locked="0"/>
    </xf>
    <xf numFmtId="0" fontId="23" fillId="0" borderId="0" xfId="47" applyFont="1" applyFill="1" applyBorder="1" applyProtection="1">
      <alignment/>
      <protection locked="0"/>
    </xf>
    <xf numFmtId="0" fontId="24" fillId="0" borderId="0" xfId="47" applyFont="1" applyFill="1" applyBorder="1" applyProtection="1">
      <alignment/>
      <protection locked="0"/>
    </xf>
    <xf numFmtId="0" fontId="23" fillId="0" borderId="0" xfId="48" applyFont="1" applyFill="1" applyBorder="1" applyAlignment="1" applyProtection="1">
      <alignment horizontal="center"/>
      <protection locked="0"/>
    </xf>
    <xf numFmtId="0" fontId="23" fillId="0" borderId="0" xfId="48" applyFont="1" applyFill="1" applyBorder="1" applyProtection="1">
      <alignment/>
      <protection locked="0"/>
    </xf>
    <xf numFmtId="0" fontId="23" fillId="0" borderId="0" xfId="48" applyFont="1" applyBorder="1" applyAlignment="1" applyProtection="1">
      <alignment horizontal="center"/>
      <protection locked="0"/>
    </xf>
    <xf numFmtId="0" fontId="24" fillId="0" borderId="0" xfId="48" applyFont="1" applyFill="1" applyBorder="1" applyAlignment="1" applyProtection="1">
      <alignment horizontal="center"/>
      <protection locked="0"/>
    </xf>
    <xf numFmtId="0" fontId="24" fillId="0" borderId="0" xfId="48" applyFont="1" applyBorder="1" applyAlignment="1" applyProtection="1">
      <alignment horizontal="center"/>
      <protection locked="0"/>
    </xf>
    <xf numFmtId="0" fontId="23" fillId="35" borderId="0" xfId="47" applyFont="1" applyFill="1" applyBorder="1" applyProtection="1">
      <alignment/>
      <protection locked="0"/>
    </xf>
    <xf numFmtId="0" fontId="20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 wrapText="1"/>
      <protection/>
    </xf>
    <xf numFmtId="0" fontId="2" fillId="37" borderId="0" xfId="0" applyFont="1" applyFill="1" applyAlignment="1" applyProtection="1">
      <alignment horizontal="center" vertical="center"/>
      <protection/>
    </xf>
    <xf numFmtId="168" fontId="2" fillId="37" borderId="0" xfId="0" applyNumberFormat="1" applyFont="1" applyFill="1" applyAlignment="1" applyProtection="1">
      <alignment horizontal="right" vertical="center"/>
      <protection/>
    </xf>
    <xf numFmtId="166" fontId="2" fillId="37" borderId="0" xfId="0" applyNumberFormat="1" applyFont="1" applyFill="1" applyAlignment="1" applyProtection="1">
      <alignment horizontal="right" vertical="center"/>
      <protection/>
    </xf>
    <xf numFmtId="169" fontId="2" fillId="37" borderId="0" xfId="0" applyNumberFormat="1" applyFont="1" applyFill="1" applyAlignment="1" applyProtection="1">
      <alignment horizontal="right" vertical="center"/>
      <protection/>
    </xf>
    <xf numFmtId="170" fontId="2" fillId="37" borderId="0" xfId="0" applyNumberFormat="1" applyFont="1" applyFill="1" applyAlignment="1" applyProtection="1">
      <alignment horizontal="right" vertical="center"/>
      <protection/>
    </xf>
    <xf numFmtId="165" fontId="2" fillId="37" borderId="0" xfId="0" applyNumberFormat="1" applyFont="1" applyFill="1" applyAlignment="1" applyProtection="1">
      <alignment horizontal="righ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7" fillId="0" borderId="0" xfId="48" applyProtection="1">
      <alignment/>
      <protection locked="0"/>
    </xf>
    <xf numFmtId="49" fontId="7" fillId="0" borderId="0" xfId="48" applyNumberFormat="1" applyProtection="1">
      <alignment/>
      <protection locked="0"/>
    </xf>
    <xf numFmtId="4" fontId="7" fillId="0" borderId="0" xfId="48" applyNumberFormat="1" applyProtection="1">
      <alignment/>
      <protection locked="0"/>
    </xf>
    <xf numFmtId="0" fontId="14" fillId="0" borderId="44" xfId="0" applyFont="1" applyBorder="1" applyAlignment="1" applyProtection="1">
      <alignment horizontal="left" vertical="center"/>
      <protection/>
    </xf>
    <xf numFmtId="0" fontId="12" fillId="0" borderId="23" xfId="47" applyFont="1" applyBorder="1" applyAlignment="1" applyProtection="1">
      <alignment horizontal="center" vertical="center"/>
      <protection/>
    </xf>
    <xf numFmtId="0" fontId="12" fillId="0" borderId="23" xfId="47" applyFont="1" applyBorder="1" applyAlignment="1" applyProtection="1">
      <alignment horizontal="left" vertical="center"/>
      <protection/>
    </xf>
    <xf numFmtId="0" fontId="12" fillId="0" borderId="24" xfId="47" applyFont="1" applyBorder="1" applyAlignment="1" applyProtection="1">
      <alignment horizontal="center" vertical="center"/>
      <protection/>
    </xf>
    <xf numFmtId="0" fontId="12" fillId="0" borderId="23" xfId="47" applyFont="1" applyFill="1" applyBorder="1" applyAlignment="1" applyProtection="1">
      <alignment horizontal="center"/>
      <protection/>
    </xf>
    <xf numFmtId="0" fontId="12" fillId="0" borderId="26" xfId="47" applyFont="1" applyBorder="1" applyAlignment="1" applyProtection="1">
      <alignment horizontal="center" vertical="center"/>
      <protection/>
    </xf>
    <xf numFmtId="4" fontId="12" fillId="0" borderId="23" xfId="47" applyNumberFormat="1" applyFont="1" applyBorder="1" applyAlignment="1" applyProtection="1">
      <alignment horizontal="center" vertical="center"/>
      <protection/>
    </xf>
    <xf numFmtId="4" fontId="12" fillId="0" borderId="23" xfId="47" applyNumberFormat="1" applyFont="1" applyBorder="1" applyAlignment="1" applyProtection="1">
      <alignment vertical="center"/>
      <protection/>
    </xf>
    <xf numFmtId="49" fontId="24" fillId="0" borderId="23" xfId="47" applyNumberFormat="1" applyFont="1" applyFill="1" applyBorder="1" applyAlignment="1" applyProtection="1">
      <alignment horizontal="center"/>
      <protection/>
    </xf>
    <xf numFmtId="0" fontId="24" fillId="0" borderId="23" xfId="47" applyFont="1" applyFill="1" applyBorder="1" applyProtection="1">
      <alignment/>
      <protection/>
    </xf>
    <xf numFmtId="0" fontId="24" fillId="0" borderId="23" xfId="47" applyFont="1" applyFill="1" applyBorder="1" applyAlignment="1" applyProtection="1">
      <alignment horizontal="center"/>
      <protection/>
    </xf>
    <xf numFmtId="0" fontId="24" fillId="0" borderId="24" xfId="47" applyFont="1" applyFill="1" applyBorder="1" applyAlignment="1" applyProtection="1">
      <alignment horizontal="center"/>
      <protection/>
    </xf>
    <xf numFmtId="0" fontId="24" fillId="0" borderId="26" xfId="47" applyFont="1" applyFill="1" applyBorder="1" applyAlignment="1" applyProtection="1">
      <alignment horizontal="center"/>
      <protection/>
    </xf>
    <xf numFmtId="4" fontId="24" fillId="0" borderId="23" xfId="47" applyNumberFormat="1" applyFont="1" applyFill="1" applyBorder="1" applyAlignment="1" applyProtection="1">
      <alignment horizontal="center"/>
      <protection/>
    </xf>
    <xf numFmtId="4" fontId="24" fillId="0" borderId="23" xfId="47" applyNumberFormat="1" applyFont="1" applyFill="1" applyBorder="1" applyAlignment="1" applyProtection="1">
      <alignment/>
      <protection/>
    </xf>
    <xf numFmtId="49" fontId="23" fillId="0" borderId="23" xfId="47" applyNumberFormat="1" applyFont="1" applyFill="1" applyBorder="1" applyAlignment="1" applyProtection="1">
      <alignment horizontal="center"/>
      <protection/>
    </xf>
    <xf numFmtId="0" fontId="23" fillId="0" borderId="23" xfId="47" applyFont="1" applyFill="1" applyBorder="1" applyAlignment="1" applyProtection="1">
      <alignment horizontal="left"/>
      <protection/>
    </xf>
    <xf numFmtId="0" fontId="23" fillId="0" borderId="23" xfId="47" applyFont="1" applyFill="1" applyBorder="1" applyAlignment="1" applyProtection="1">
      <alignment horizontal="center"/>
      <protection/>
    </xf>
    <xf numFmtId="0" fontId="23" fillId="0" borderId="23" xfId="48" applyFont="1" applyFill="1" applyBorder="1" applyAlignment="1" applyProtection="1">
      <alignment horizontal="center"/>
      <protection/>
    </xf>
    <xf numFmtId="4" fontId="23" fillId="0" borderId="23" xfId="47" applyNumberFormat="1" applyFont="1" applyFill="1" applyBorder="1" applyAlignment="1" applyProtection="1">
      <alignment horizontal="center"/>
      <protection/>
    </xf>
    <xf numFmtId="4" fontId="23" fillId="0" borderId="23" xfId="47" applyNumberFormat="1" applyFont="1" applyFill="1" applyBorder="1" applyAlignment="1" applyProtection="1">
      <alignment/>
      <protection/>
    </xf>
    <xf numFmtId="0" fontId="23" fillId="0" borderId="26" xfId="47" applyFont="1" applyFill="1" applyBorder="1" applyAlignment="1" applyProtection="1">
      <alignment horizontal="center"/>
      <protection/>
    </xf>
    <xf numFmtId="0" fontId="23" fillId="0" borderId="23" xfId="47" applyFont="1" applyFill="1" applyBorder="1" applyProtection="1">
      <alignment/>
      <protection/>
    </xf>
    <xf numFmtId="0" fontId="23" fillId="0" borderId="24" xfId="47" applyFont="1" applyFill="1" applyBorder="1" applyAlignment="1" applyProtection="1">
      <alignment horizontal="center"/>
      <protection/>
    </xf>
    <xf numFmtId="0" fontId="24" fillId="0" borderId="23" xfId="47" applyFont="1" applyFill="1" applyBorder="1" applyAlignment="1" applyProtection="1">
      <alignment horizontal="left"/>
      <protection/>
    </xf>
    <xf numFmtId="0" fontId="7" fillId="0" borderId="0" xfId="47" applyProtection="1">
      <alignment/>
      <protection/>
    </xf>
    <xf numFmtId="4" fontId="7" fillId="0" borderId="0" xfId="47" applyNumberFormat="1" applyProtection="1">
      <alignment/>
      <protection/>
    </xf>
    <xf numFmtId="4" fontId="7" fillId="0" borderId="0" xfId="47" applyNumberFormat="1" applyAlignment="1" applyProtection="1">
      <alignment/>
      <protection/>
    </xf>
    <xf numFmtId="0" fontId="23" fillId="0" borderId="23" xfId="47" applyFont="1" applyFill="1" applyBorder="1" applyAlignment="1" applyProtection="1">
      <alignment horizontal="left" wrapText="1"/>
      <protection/>
    </xf>
    <xf numFmtId="4" fontId="23" fillId="23" borderId="23" xfId="47" applyNumberFormat="1" applyFont="1" applyFill="1" applyBorder="1" applyAlignment="1" applyProtection="1">
      <alignment horizontal="center"/>
      <protection locked="0"/>
    </xf>
    <xf numFmtId="4" fontId="23" fillId="23" borderId="23" xfId="47" applyNumberFormat="1" applyFont="1" applyFill="1" applyBorder="1" applyAlignment="1" applyProtection="1">
      <alignment/>
      <protection locked="0"/>
    </xf>
    <xf numFmtId="49" fontId="7" fillId="0" borderId="0" xfId="47" applyNumberFormat="1" applyProtection="1">
      <alignment/>
      <protection/>
    </xf>
    <xf numFmtId="49" fontId="12" fillId="0" borderId="23" xfId="47" applyNumberFormat="1" applyFont="1" applyBorder="1" applyAlignment="1" applyProtection="1">
      <alignment horizontal="center" vertical="center"/>
      <protection/>
    </xf>
    <xf numFmtId="0" fontId="12" fillId="0" borderId="23" xfId="47" applyFont="1" applyBorder="1" applyAlignment="1" applyProtection="1">
      <alignment horizontal="center" vertical="center" wrapText="1"/>
      <protection/>
    </xf>
    <xf numFmtId="0" fontId="24" fillId="0" borderId="23" xfId="47" applyFont="1" applyBorder="1" applyAlignment="1" applyProtection="1">
      <alignment horizontal="center"/>
      <protection/>
    </xf>
    <xf numFmtId="0" fontId="24" fillId="0" borderId="23" xfId="47" applyFont="1" applyBorder="1" applyProtection="1">
      <alignment/>
      <protection/>
    </xf>
    <xf numFmtId="49" fontId="24" fillId="0" borderId="23" xfId="47" applyNumberFormat="1" applyFont="1" applyBorder="1" applyProtection="1">
      <alignment/>
      <protection/>
    </xf>
    <xf numFmtId="0" fontId="24" fillId="0" borderId="23" xfId="47" applyFont="1" applyBorder="1" applyAlignment="1" applyProtection="1">
      <alignment horizontal="center" vertical="center" wrapText="1"/>
      <protection/>
    </xf>
    <xf numFmtId="4" fontId="24" fillId="0" borderId="23" xfId="47" applyNumberFormat="1" applyFont="1" applyBorder="1" applyAlignment="1" applyProtection="1">
      <alignment horizontal="center"/>
      <protection/>
    </xf>
    <xf numFmtId="0" fontId="23" fillId="0" borderId="23" xfId="48" applyFont="1" applyFill="1" applyBorder="1" applyAlignment="1" applyProtection="1">
      <alignment wrapText="1"/>
      <protection/>
    </xf>
    <xf numFmtId="0" fontId="23" fillId="0" borderId="23" xfId="48" applyFont="1" applyFill="1" applyBorder="1" applyProtection="1">
      <alignment/>
      <protection/>
    </xf>
    <xf numFmtId="0" fontId="23" fillId="0" borderId="23" xfId="47" applyFont="1" applyBorder="1" applyProtection="1">
      <alignment/>
      <protection/>
    </xf>
    <xf numFmtId="49" fontId="23" fillId="0" borderId="23" xfId="47" applyNumberFormat="1" applyFont="1" applyFill="1" applyBorder="1" applyAlignment="1" applyProtection="1">
      <alignment vertical="center" wrapText="1"/>
      <protection/>
    </xf>
    <xf numFmtId="0" fontId="23" fillId="0" borderId="23" xfId="47" applyFont="1" applyBorder="1" applyAlignment="1" applyProtection="1">
      <alignment horizontal="center"/>
      <protection/>
    </xf>
    <xf numFmtId="4" fontId="23" fillId="0" borderId="23" xfId="47" applyNumberFormat="1" applyFont="1" applyBorder="1" applyAlignment="1" applyProtection="1">
      <alignment horizontal="center"/>
      <protection/>
    </xf>
    <xf numFmtId="49" fontId="24" fillId="0" borderId="23" xfId="47" applyNumberFormat="1" applyFont="1" applyFill="1" applyBorder="1" applyProtection="1">
      <alignment/>
      <protection/>
    </xf>
    <xf numFmtId="49" fontId="23" fillId="0" borderId="23" xfId="47" applyNumberFormat="1" applyFont="1" applyBorder="1" applyAlignment="1" applyProtection="1">
      <alignment horizontal="center"/>
      <protection/>
    </xf>
    <xf numFmtId="0" fontId="23" fillId="0" borderId="23" xfId="47" applyFont="1" applyFill="1" applyBorder="1" applyAlignment="1" applyProtection="1">
      <alignment horizontal="center" wrapText="1"/>
      <protection/>
    </xf>
    <xf numFmtId="0" fontId="23" fillId="0" borderId="23" xfId="47" applyFont="1" applyFill="1" applyBorder="1" applyAlignment="1" applyProtection="1">
      <alignment wrapText="1"/>
      <protection/>
    </xf>
    <xf numFmtId="49" fontId="24" fillId="0" borderId="23" xfId="47" applyNumberFormat="1" applyFont="1" applyBorder="1" applyAlignment="1" applyProtection="1">
      <alignment horizontal="center"/>
      <protection/>
    </xf>
    <xf numFmtId="0" fontId="23" fillId="0" borderId="23" xfId="47" applyFont="1" applyBorder="1" applyAlignment="1" applyProtection="1">
      <alignment wrapText="1"/>
      <protection/>
    </xf>
    <xf numFmtId="4" fontId="24" fillId="38" borderId="23" xfId="47" applyNumberFormat="1" applyFont="1" applyFill="1" applyBorder="1" applyAlignment="1" applyProtection="1">
      <alignment horizontal="center"/>
      <protection locked="0"/>
    </xf>
    <xf numFmtId="4" fontId="26" fillId="23" borderId="0" xfId="49" applyNumberFormat="1" applyFont="1" applyFill="1" applyProtection="1">
      <alignment/>
      <protection locked="0"/>
    </xf>
    <xf numFmtId="2" fontId="29" fillId="23" borderId="0" xfId="49" applyNumberFormat="1" applyFont="1" applyFill="1" applyBorder="1" applyProtection="1">
      <alignment/>
      <protection locked="0"/>
    </xf>
    <xf numFmtId="2" fontId="29" fillId="23" borderId="0" xfId="49" applyNumberFormat="1" applyFont="1" applyFill="1" applyBorder="1" applyAlignment="1" applyProtection="1">
      <alignment vertical="center"/>
      <protection locked="0"/>
    </xf>
    <xf numFmtId="4" fontId="29" fillId="23" borderId="0" xfId="49" applyNumberFormat="1" applyFont="1" applyFill="1" applyBorder="1" applyAlignment="1" applyProtection="1">
      <alignment horizontal="right"/>
      <protection locked="0"/>
    </xf>
    <xf numFmtId="166" fontId="2" fillId="23" borderId="0" xfId="0" applyNumberFormat="1" applyFont="1" applyFill="1" applyAlignment="1" applyProtection="1">
      <alignment horizontal="right" vertical="center"/>
      <protection locked="0"/>
    </xf>
    <xf numFmtId="166" fontId="22" fillId="23" borderId="0" xfId="0" applyNumberFormat="1" applyFont="1" applyFill="1" applyAlignment="1" applyProtection="1">
      <alignment horizontal="right" vertical="center"/>
      <protection locked="0"/>
    </xf>
    <xf numFmtId="166" fontId="2" fillId="23" borderId="0" xfId="0" applyNumberFormat="1" applyFont="1" applyFill="1" applyAlignment="1" applyProtection="1">
      <alignment horizontal="right" vertical="center"/>
      <protection locked="0"/>
    </xf>
    <xf numFmtId="168" fontId="2" fillId="23" borderId="0" xfId="0" applyNumberFormat="1" applyFont="1" applyFill="1" applyAlignment="1" applyProtection="1">
      <alignment horizontal="right" vertical="center"/>
      <protection locked="0"/>
    </xf>
    <xf numFmtId="0" fontId="3" fillId="23" borderId="21" xfId="0" applyFont="1" applyFill="1" applyBorder="1" applyAlignment="1" applyProtection="1">
      <alignment horizontal="left" vertical="center"/>
      <protection locked="0"/>
    </xf>
    <xf numFmtId="0" fontId="2" fillId="23" borderId="0" xfId="0" applyFont="1" applyFill="1" applyAlignment="1" applyProtection="1">
      <alignment horizontal="left" vertical="center"/>
      <protection locked="0"/>
    </xf>
    <xf numFmtId="0" fontId="2" fillId="23" borderId="22" xfId="0" applyFont="1" applyFill="1" applyBorder="1" applyAlignment="1" applyProtection="1">
      <alignment horizontal="left" vertical="center"/>
      <protection locked="0"/>
    </xf>
    <xf numFmtId="177" fontId="3" fillId="23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top" wrapText="1"/>
      <protection/>
    </xf>
    <xf numFmtId="164" fontId="3" fillId="0" borderId="27" xfId="0" applyNumberFormat="1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 wrapText="1"/>
      <protection/>
    </xf>
    <xf numFmtId="166" fontId="2" fillId="37" borderId="0" xfId="0" applyNumberFormat="1" applyFont="1" applyFill="1" applyAlignment="1" applyProtection="1">
      <alignment horizontal="righ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A" xfId="46"/>
    <cellStyle name="Normální 2" xfId="47"/>
    <cellStyle name="Normální 2 2" xfId="48"/>
    <cellStyle name="Normální 3" xfId="49"/>
    <cellStyle name="Normální 3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5\Tom&#225;&#353;\1_Podkrovn&#237;%20byt%20Wintera%20432_8%202015_1a2\02-PROFESE\TOPEN&#205;%20(puvodn&#237;%20DSP))\v&#253;pis%20materi&#225;lu-UT-Zikmunda%20Wintra%208-J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4\Tom&#225;&#353;\Jugosl&#225;vsk&#253;ch%20partyz&#225;n&#367;%20977_13\odesl&#225;no\P&#367;dn&#237;%20vestavba%20V&#237;t&#283;zn&#233;%20n&#225;m&#283;st&#237;%20997-13,%20Praha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tápě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ovod"/>
      <sheetName val="Vytápění"/>
      <sheetName val="ESI"/>
      <sheetName val="ESL"/>
      <sheetName val="#Figury"/>
    </sheetNames>
    <sheetDataSet>
      <sheetData sheetId="0">
        <row r="5"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0">
      <selection activeCell="I34" sqref="I3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375" t="s">
        <v>2</v>
      </c>
      <c r="F5" s="376"/>
      <c r="G5" s="376"/>
      <c r="H5" s="376"/>
      <c r="I5" s="376"/>
      <c r="J5" s="377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378" t="s">
        <v>4</v>
      </c>
      <c r="F7" s="379"/>
      <c r="G7" s="379"/>
      <c r="H7" s="379"/>
      <c r="I7" s="379"/>
      <c r="J7" s="380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381" t="s">
        <v>4</v>
      </c>
      <c r="F9" s="382"/>
      <c r="G9" s="382"/>
      <c r="H9" s="382"/>
      <c r="I9" s="382"/>
      <c r="J9" s="383"/>
      <c r="K9" s="14"/>
      <c r="L9" s="14"/>
      <c r="M9" s="14"/>
      <c r="N9" s="14"/>
      <c r="O9" s="14" t="s">
        <v>11</v>
      </c>
      <c r="P9" s="384" t="s">
        <v>12</v>
      </c>
      <c r="Q9" s="382"/>
      <c r="R9" s="383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371" t="s">
        <v>4</v>
      </c>
      <c r="F28" s="372"/>
      <c r="G28" s="372"/>
      <c r="H28" s="372"/>
      <c r="I28" s="372"/>
      <c r="J28" s="373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11" t="s">
        <v>1559</v>
      </c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26</v>
      </c>
      <c r="H31" s="36"/>
      <c r="I31" s="37"/>
      <c r="J31" s="14"/>
      <c r="K31" s="14"/>
      <c r="L31" s="14"/>
      <c r="M31" s="14"/>
      <c r="N31" s="14"/>
      <c r="O31" s="38" t="s">
        <v>1297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1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36</v>
      </c>
      <c r="B37" s="63"/>
      <c r="C37" s="64" t="s">
        <v>37</v>
      </c>
      <c r="D37" s="65"/>
      <c r="E37" s="65"/>
      <c r="F37" s="66"/>
      <c r="G37" s="62" t="s">
        <v>38</v>
      </c>
      <c r="H37" s="67"/>
      <c r="I37" s="64" t="s">
        <v>39</v>
      </c>
      <c r="J37" s="65"/>
      <c r="K37" s="65"/>
      <c r="L37" s="62" t="s">
        <v>40</v>
      </c>
      <c r="M37" s="67"/>
      <c r="N37" s="64" t="s">
        <v>41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42</v>
      </c>
      <c r="C38" s="17"/>
      <c r="D38" s="70" t="s">
        <v>43</v>
      </c>
      <c r="E38" s="71">
        <f>SUMIF(Rozpocet!O5:O626,8,Rozpocet!I5:I626)</f>
        <v>0</v>
      </c>
      <c r="F38" s="72"/>
      <c r="G38" s="68">
        <v>8</v>
      </c>
      <c r="H38" s="73" t="s">
        <v>44</v>
      </c>
      <c r="I38" s="31"/>
      <c r="J38" s="74">
        <v>0</v>
      </c>
      <c r="K38" s="75"/>
      <c r="L38" s="68">
        <v>13</v>
      </c>
      <c r="M38" s="29" t="s">
        <v>45</v>
      </c>
      <c r="N38" s="36"/>
      <c r="O38" s="36"/>
      <c r="P38" s="374"/>
      <c r="Q38" s="267" t="s">
        <v>46</v>
      </c>
      <c r="R38" s="268">
        <f>P38*$E$44/100</f>
        <v>0</v>
      </c>
      <c r="S38" s="72"/>
    </row>
    <row r="39" spans="1:19" ht="20.25" customHeight="1">
      <c r="A39" s="68">
        <v>2</v>
      </c>
      <c r="B39" s="76"/>
      <c r="C39" s="33"/>
      <c r="D39" s="70" t="s">
        <v>47</v>
      </c>
      <c r="E39" s="71">
        <f>SUMIF(Rozpocet!O10:O626,4,Rozpocet!I10:I626)</f>
        <v>0</v>
      </c>
      <c r="F39" s="72"/>
      <c r="G39" s="68">
        <v>9</v>
      </c>
      <c r="H39" s="14" t="s">
        <v>48</v>
      </c>
      <c r="I39" s="70"/>
      <c r="J39" s="74">
        <v>0</v>
      </c>
      <c r="K39" s="75"/>
      <c r="L39" s="68">
        <v>14</v>
      </c>
      <c r="M39" s="29" t="s">
        <v>49</v>
      </c>
      <c r="N39" s="36"/>
      <c r="O39" s="36"/>
      <c r="P39" s="374"/>
      <c r="Q39" s="267" t="s">
        <v>46</v>
      </c>
      <c r="R39" s="268">
        <f>P39*$E$44/100</f>
        <v>0</v>
      </c>
      <c r="S39" s="72"/>
    </row>
    <row r="40" spans="1:19" ht="20.25" customHeight="1">
      <c r="A40" s="68">
        <v>3</v>
      </c>
      <c r="B40" s="69" t="s">
        <v>50</v>
      </c>
      <c r="C40" s="17"/>
      <c r="D40" s="70" t="s">
        <v>43</v>
      </c>
      <c r="E40" s="71">
        <f>SUMIF(Rozpocet!O11:O626,32,Rozpocet!I11:I626)</f>
        <v>0</v>
      </c>
      <c r="F40" s="72"/>
      <c r="G40" s="68">
        <v>10</v>
      </c>
      <c r="H40" s="73" t="s">
        <v>51</v>
      </c>
      <c r="I40" s="31"/>
      <c r="J40" s="74">
        <v>0</v>
      </c>
      <c r="K40" s="75"/>
      <c r="L40" s="68">
        <v>15</v>
      </c>
      <c r="M40" s="29" t="s">
        <v>52</v>
      </c>
      <c r="N40" s="36"/>
      <c r="O40" s="36"/>
      <c r="P40" s="374"/>
      <c r="Q40" s="267" t="s">
        <v>46</v>
      </c>
      <c r="R40" s="268">
        <f>P40*$E$44/100</f>
        <v>0</v>
      </c>
      <c r="S40" s="72"/>
    </row>
    <row r="41" spans="1:19" ht="20.25" customHeight="1">
      <c r="A41" s="68">
        <v>4</v>
      </c>
      <c r="B41" s="76"/>
      <c r="C41" s="33"/>
      <c r="D41" s="70" t="s">
        <v>47</v>
      </c>
      <c r="E41" s="71">
        <f>SUMIF(Rozpocet!O12:O626,16,Rozpocet!I12:I626)+SUMIF(Rozpocet!O12:O626,128,Rozpocet!I12:I626)</f>
        <v>0</v>
      </c>
      <c r="F41" s="72"/>
      <c r="G41" s="68">
        <v>11</v>
      </c>
      <c r="H41" s="73"/>
      <c r="I41" s="31"/>
      <c r="J41" s="74">
        <v>0</v>
      </c>
      <c r="K41" s="75"/>
      <c r="L41" s="68">
        <v>16</v>
      </c>
      <c r="M41" s="29" t="s">
        <v>53</v>
      </c>
      <c r="N41" s="36"/>
      <c r="O41" s="36"/>
      <c r="P41" s="374"/>
      <c r="Q41" s="267" t="s">
        <v>46</v>
      </c>
      <c r="R41" s="268">
        <f>P41*$E$44/100</f>
        <v>0</v>
      </c>
      <c r="S41" s="72"/>
    </row>
    <row r="42" spans="1:19" ht="20.25" customHeight="1">
      <c r="A42" s="68">
        <v>5</v>
      </c>
      <c r="B42" s="69" t="s">
        <v>54</v>
      </c>
      <c r="C42" s="17"/>
      <c r="D42" s="70" t="s">
        <v>43</v>
      </c>
      <c r="E42" s="71">
        <f>SUMIF(Rozpocet!O13:O626,256,Rozpocet!I13:I626)</f>
        <v>0</v>
      </c>
      <c r="F42" s="72"/>
      <c r="G42" s="77"/>
      <c r="H42" s="36"/>
      <c r="I42" s="31"/>
      <c r="J42" s="78"/>
      <c r="K42" s="75"/>
      <c r="L42" s="68">
        <v>17</v>
      </c>
      <c r="M42" s="29" t="s">
        <v>55</v>
      </c>
      <c r="N42" s="36"/>
      <c r="O42" s="36"/>
      <c r="P42" s="374"/>
      <c r="Q42" s="267" t="s">
        <v>46</v>
      </c>
      <c r="R42" s="268">
        <f>P42*$E$44/100</f>
        <v>0</v>
      </c>
      <c r="S42" s="72"/>
    </row>
    <row r="43" spans="1:19" ht="20.25" customHeight="1">
      <c r="A43" s="68">
        <v>6</v>
      </c>
      <c r="B43" s="76"/>
      <c r="C43" s="33"/>
      <c r="D43" s="70" t="s">
        <v>47</v>
      </c>
      <c r="E43" s="71">
        <f>SUMIF(Rozpocet!O14:O626,64,Rozpocet!I14:I626)</f>
        <v>0</v>
      </c>
      <c r="F43" s="72"/>
      <c r="G43" s="77"/>
      <c r="H43" s="36"/>
      <c r="I43" s="31"/>
      <c r="J43" s="78"/>
      <c r="K43" s="75"/>
      <c r="L43" s="68">
        <v>18</v>
      </c>
      <c r="M43" s="73" t="s">
        <v>56</v>
      </c>
      <c r="N43" s="36"/>
      <c r="O43" s="36"/>
      <c r="P43" s="36"/>
      <c r="Q43" s="31"/>
      <c r="R43" s="71">
        <f>SUMIF(Rozpocet!O14:O626,1024,Rozpocet!I14:I626)</f>
        <v>0</v>
      </c>
      <c r="S43" s="72"/>
    </row>
    <row r="44" spans="1:19" ht="20.25" customHeight="1">
      <c r="A44" s="68">
        <v>7</v>
      </c>
      <c r="B44" s="79" t="s">
        <v>57</v>
      </c>
      <c r="C44" s="36"/>
      <c r="D44" s="31"/>
      <c r="E44" s="80">
        <f>SUM(E38:E43)</f>
        <v>0</v>
      </c>
      <c r="F44" s="46"/>
      <c r="G44" s="68">
        <v>12</v>
      </c>
      <c r="H44" s="79" t="s">
        <v>58</v>
      </c>
      <c r="I44" s="31"/>
      <c r="J44" s="81">
        <f>SUM(J38:J41)</f>
        <v>0</v>
      </c>
      <c r="K44" s="82"/>
      <c r="L44" s="68">
        <v>19</v>
      </c>
      <c r="M44" s="69" t="s">
        <v>59</v>
      </c>
      <c r="N44" s="27"/>
      <c r="O44" s="27"/>
      <c r="P44" s="27"/>
      <c r="Q44" s="83"/>
      <c r="R44" s="80">
        <f>SUM(R38:R43)</f>
        <v>0</v>
      </c>
      <c r="S44" s="46"/>
    </row>
    <row r="45" spans="1:19" ht="20.25" customHeight="1">
      <c r="A45" s="84">
        <v>20</v>
      </c>
      <c r="B45" s="85" t="s">
        <v>60</v>
      </c>
      <c r="C45" s="86"/>
      <c r="D45" s="87"/>
      <c r="E45" s="88">
        <f>SUMIF(Rozpocet!O14:O626,512,Rozpocet!I14:I626)</f>
        <v>0</v>
      </c>
      <c r="F45" s="42"/>
      <c r="G45" s="84">
        <v>21</v>
      </c>
      <c r="H45" s="85" t="s">
        <v>61</v>
      </c>
      <c r="I45" s="87"/>
      <c r="J45" s="89">
        <v>0</v>
      </c>
      <c r="K45" s="90">
        <f>M48</f>
        <v>15</v>
      </c>
      <c r="L45" s="84">
        <v>22</v>
      </c>
      <c r="M45" s="85" t="s">
        <v>62</v>
      </c>
      <c r="N45" s="86"/>
      <c r="O45" s="86"/>
      <c r="P45" s="86"/>
      <c r="Q45" s="87"/>
      <c r="R45" s="88">
        <f>SUMIF(Rozpocet!O14:O626,"&lt;4",Rozpocet!I14:I626)+SUMIF(Rozpocet!O14:O626,"&gt;1024",Rozpocet!I14:I626)</f>
        <v>0</v>
      </c>
      <c r="S45" s="42"/>
    </row>
    <row r="46" spans="1:19" ht="20.25" customHeight="1">
      <c r="A46" s="91" t="s">
        <v>20</v>
      </c>
      <c r="B46" s="11"/>
      <c r="C46" s="11"/>
      <c r="D46" s="11"/>
      <c r="E46" s="11"/>
      <c r="F46" s="92"/>
      <c r="G46" s="93"/>
      <c r="H46" s="11"/>
      <c r="I46" s="11"/>
      <c r="J46" s="11"/>
      <c r="K46" s="11"/>
      <c r="L46" s="62" t="s">
        <v>63</v>
      </c>
      <c r="M46" s="49"/>
      <c r="N46" s="64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4"/>
      <c r="H47" s="14"/>
      <c r="I47" s="14"/>
      <c r="J47" s="14"/>
      <c r="K47" s="14"/>
      <c r="L47" s="68">
        <v>23</v>
      </c>
      <c r="M47" s="73" t="s">
        <v>65</v>
      </c>
      <c r="N47" s="36"/>
      <c r="O47" s="36"/>
      <c r="P47" s="36"/>
      <c r="Q47" s="72"/>
      <c r="R47" s="80">
        <f>ROUND(E44+J44+R44+E45+J45+R45,2)</f>
        <v>0</v>
      </c>
      <c r="S47" s="95">
        <f>E44+J44+R44+E45+J45+R45</f>
        <v>0</v>
      </c>
    </row>
    <row r="48" spans="1:19" ht="20.25" customHeight="1">
      <c r="A48" s="96" t="s">
        <v>66</v>
      </c>
      <c r="B48" s="32"/>
      <c r="C48" s="32"/>
      <c r="D48" s="32"/>
      <c r="E48" s="32"/>
      <c r="F48" s="33"/>
      <c r="G48" s="97" t="s">
        <v>67</v>
      </c>
      <c r="H48" s="32"/>
      <c r="I48" s="32"/>
      <c r="J48" s="32"/>
      <c r="K48" s="32"/>
      <c r="L48" s="68">
        <v>24</v>
      </c>
      <c r="M48" s="98">
        <v>15</v>
      </c>
      <c r="N48" s="33" t="s">
        <v>46</v>
      </c>
      <c r="O48" s="99">
        <f>R47-O49</f>
        <v>0</v>
      </c>
      <c r="P48" s="36" t="s">
        <v>68</v>
      </c>
      <c r="Q48" s="31"/>
      <c r="R48" s="100">
        <f>ROUNDUP(O48*M48/100,1)</f>
        <v>0</v>
      </c>
      <c r="S48" s="101">
        <f>O48*M48/100</f>
        <v>0</v>
      </c>
    </row>
    <row r="49" spans="1:19" ht="20.25" customHeight="1">
      <c r="A49" s="102" t="s">
        <v>18</v>
      </c>
      <c r="B49" s="27"/>
      <c r="C49" s="27"/>
      <c r="D49" s="27"/>
      <c r="E49" s="27"/>
      <c r="F49" s="17"/>
      <c r="G49" s="103"/>
      <c r="H49" s="27"/>
      <c r="I49" s="27"/>
      <c r="J49" s="27"/>
      <c r="K49" s="27"/>
      <c r="L49" s="68">
        <v>25</v>
      </c>
      <c r="M49" s="104">
        <v>21</v>
      </c>
      <c r="N49" s="31" t="s">
        <v>46</v>
      </c>
      <c r="O49" s="99"/>
      <c r="P49" s="36" t="s">
        <v>68</v>
      </c>
      <c r="Q49" s="31"/>
      <c r="R49" s="71">
        <f>ROUNDUP(O49*M49/100,1)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4"/>
      <c r="H50" s="14"/>
      <c r="I50" s="14"/>
      <c r="J50" s="14"/>
      <c r="K50" s="14"/>
      <c r="L50" s="84">
        <v>26</v>
      </c>
      <c r="M50" s="106" t="s">
        <v>69</v>
      </c>
      <c r="N50" s="86"/>
      <c r="O50" s="86"/>
      <c r="P50" s="86"/>
      <c r="Q50" s="107"/>
      <c r="R50" s="108">
        <f>R47+R48+R49</f>
        <v>0</v>
      </c>
      <c r="S50" s="109"/>
    </row>
    <row r="51" spans="1:19" ht="20.25" customHeight="1">
      <c r="A51" s="96" t="s">
        <v>66</v>
      </c>
      <c r="B51" s="32"/>
      <c r="C51" s="32"/>
      <c r="D51" s="32"/>
      <c r="E51" s="32"/>
      <c r="F51" s="33"/>
      <c r="G51" s="97" t="s">
        <v>67</v>
      </c>
      <c r="H51" s="32"/>
      <c r="I51" s="32"/>
      <c r="J51" s="32"/>
      <c r="K51" s="32"/>
      <c r="L51" s="62" t="s">
        <v>70</v>
      </c>
      <c r="M51" s="49"/>
      <c r="N51" s="64" t="s">
        <v>71</v>
      </c>
      <c r="O51" s="48"/>
      <c r="P51" s="48"/>
      <c r="Q51" s="48"/>
      <c r="R51" s="110"/>
      <c r="S51" s="51"/>
    </row>
    <row r="52" spans="1:19" ht="20.25" customHeight="1">
      <c r="A52" s="102" t="s">
        <v>22</v>
      </c>
      <c r="B52" s="27"/>
      <c r="C52" s="27"/>
      <c r="D52" s="27"/>
      <c r="E52" s="27"/>
      <c r="F52" s="17"/>
      <c r="G52" s="103"/>
      <c r="H52" s="27"/>
      <c r="I52" s="27"/>
      <c r="J52" s="27"/>
      <c r="K52" s="27"/>
      <c r="L52" s="68">
        <v>27</v>
      </c>
      <c r="M52" s="73" t="s">
        <v>72</v>
      </c>
      <c r="N52" s="36"/>
      <c r="O52" s="36"/>
      <c r="P52" s="36"/>
      <c r="Q52" s="31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4"/>
      <c r="H53" s="14"/>
      <c r="I53" s="14"/>
      <c r="J53" s="14"/>
      <c r="K53" s="14"/>
      <c r="L53" s="68">
        <v>28</v>
      </c>
      <c r="M53" s="73" t="s">
        <v>73</v>
      </c>
      <c r="N53" s="36"/>
      <c r="O53" s="36"/>
      <c r="P53" s="36"/>
      <c r="Q53" s="31"/>
      <c r="R53" s="71">
        <v>0</v>
      </c>
      <c r="S53" s="72"/>
    </row>
    <row r="54" spans="1:19" ht="20.25" customHeight="1">
      <c r="A54" s="111" t="s">
        <v>66</v>
      </c>
      <c r="B54" s="41"/>
      <c r="C54" s="41"/>
      <c r="D54" s="41"/>
      <c r="E54" s="41"/>
      <c r="F54" s="112"/>
      <c r="G54" s="113" t="s">
        <v>67</v>
      </c>
      <c r="H54" s="41"/>
      <c r="I54" s="41"/>
      <c r="J54" s="41"/>
      <c r="K54" s="41"/>
      <c r="L54" s="84">
        <v>29</v>
      </c>
      <c r="M54" s="85" t="s">
        <v>74</v>
      </c>
      <c r="N54" s="86"/>
      <c r="O54" s="86"/>
      <c r="P54" s="86"/>
      <c r="Q54" s="87"/>
      <c r="R54" s="55">
        <v>0</v>
      </c>
      <c r="S54" s="114"/>
    </row>
  </sheetData>
  <sheetProtection password="C0EE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B53" sqref="B5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Podkrovní byty Dr. Zikmunda Wintra 432-8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Městská část Praha 6 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82</v>
      </c>
      <c r="B9" s="247" t="str">
        <f>'Krycí list'!$O$31</f>
        <v>20.1.2015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83</v>
      </c>
      <c r="B11" s="123" t="s">
        <v>84</v>
      </c>
      <c r="C11" s="124" t="s">
        <v>85</v>
      </c>
      <c r="D11" s="125" t="s">
        <v>86</v>
      </c>
      <c r="E11" s="124" t="s">
        <v>87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130.54474424140002</v>
      </c>
      <c r="E14" s="137">
        <f>Rozpocet!M14</f>
        <v>217.11761439999998</v>
      </c>
    </row>
    <row r="15" spans="1:5" s="133" customFormat="1" ht="12.75" customHeight="1">
      <c r="A15" s="138" t="str">
        <f>Rozpocet!D15</f>
        <v>3</v>
      </c>
      <c r="B15" s="139" t="str">
        <f>Rozpocet!E15</f>
        <v> Svislé a kompletní konstrukce</v>
      </c>
      <c r="C15" s="140">
        <f>Rozpocet!I15</f>
        <v>0</v>
      </c>
      <c r="D15" s="141">
        <f>Rozpocet!K15</f>
        <v>46.57088332110001</v>
      </c>
      <c r="E15" s="141">
        <f>Rozpocet!M15</f>
        <v>0</v>
      </c>
    </row>
    <row r="16" spans="1:5" s="133" customFormat="1" ht="12.75" customHeight="1">
      <c r="A16" s="138" t="str">
        <f>Rozpocet!D93</f>
        <v>4</v>
      </c>
      <c r="B16" s="139" t="str">
        <f>Rozpocet!E93</f>
        <v>Vodorovné konstrukce</v>
      </c>
      <c r="C16" s="140">
        <f>Rozpocet!I93</f>
        <v>0</v>
      </c>
      <c r="D16" s="141">
        <f>Rozpocet!K93</f>
        <v>22.093071527499998</v>
      </c>
      <c r="E16" s="141">
        <f>Rozpocet!M93</f>
        <v>0</v>
      </c>
    </row>
    <row r="17" spans="1:5" s="133" customFormat="1" ht="12.75" customHeight="1">
      <c r="A17" s="138" t="str">
        <f>Rozpocet!D127</f>
        <v>6</v>
      </c>
      <c r="B17" s="139" t="str">
        <f>Rozpocet!E127</f>
        <v>Úpravy povrchů, podlahy a osazování výplní</v>
      </c>
      <c r="C17" s="140">
        <f>Rozpocet!I127</f>
        <v>0</v>
      </c>
      <c r="D17" s="141">
        <f>Rozpocet!K127</f>
        <v>61.8529915928</v>
      </c>
      <c r="E17" s="141">
        <f>Rozpocet!M127</f>
        <v>0</v>
      </c>
    </row>
    <row r="18" spans="1:5" s="133" customFormat="1" ht="12.75" customHeight="1">
      <c r="A18" s="138" t="str">
        <f>Rozpocet!D214</f>
        <v>9</v>
      </c>
      <c r="B18" s="139" t="str">
        <f>Rozpocet!E214</f>
        <v>Ostatní konstrukce a práce</v>
      </c>
      <c r="C18" s="140">
        <f>Rozpocet!I214</f>
        <v>0</v>
      </c>
      <c r="D18" s="141">
        <f>Rozpocet!K214</f>
        <v>0.027797799999999998</v>
      </c>
      <c r="E18" s="141">
        <f>Rozpocet!M214</f>
        <v>217.11761439999998</v>
      </c>
    </row>
    <row r="19" spans="1:5" s="133" customFormat="1" ht="12.75" customHeight="1">
      <c r="A19" s="142" t="str">
        <f>Rozpocet!D253</f>
        <v>99</v>
      </c>
      <c r="B19" s="143" t="str">
        <f>Rozpocet!E253</f>
        <v>Přesun hmot</v>
      </c>
      <c r="C19" s="144">
        <f>Rozpocet!I253</f>
        <v>0</v>
      </c>
      <c r="D19" s="145">
        <f>Rozpocet!K253</f>
        <v>0</v>
      </c>
      <c r="E19" s="145">
        <f>Rozpocet!M253</f>
        <v>0</v>
      </c>
    </row>
    <row r="20" spans="1:5" s="133" customFormat="1" ht="12.75" customHeight="1">
      <c r="A20" s="134" t="str">
        <f>Rozpocet!D266</f>
        <v>PSV</v>
      </c>
      <c r="B20" s="135" t="str">
        <f>Rozpocet!E266</f>
        <v>Práce a dodávky PSV</v>
      </c>
      <c r="C20" s="136">
        <f>Rozpocet!I266</f>
        <v>0</v>
      </c>
      <c r="D20" s="137">
        <f>Rozpocet!K266</f>
        <v>34.5818765143</v>
      </c>
      <c r="E20" s="137">
        <f>Rozpocet!M266</f>
        <v>10.82541385</v>
      </c>
    </row>
    <row r="21" spans="1:5" s="133" customFormat="1" ht="12.75" customHeight="1">
      <c r="A21" s="138" t="str">
        <f>Rozpocet!D267</f>
        <v>711</v>
      </c>
      <c r="B21" s="139" t="str">
        <f>Rozpocet!E267</f>
        <v>Izolace proti vodě, vlhkosti a plynům</v>
      </c>
      <c r="C21" s="140">
        <f>Rozpocet!I267</f>
        <v>0</v>
      </c>
      <c r="D21" s="141">
        <f>Rozpocet!K267</f>
        <v>0.13425099999999998</v>
      </c>
      <c r="E21" s="141">
        <f>Rozpocet!M267</f>
        <v>0</v>
      </c>
    </row>
    <row r="22" spans="1:5" s="133" customFormat="1" ht="12.75" customHeight="1">
      <c r="A22" s="138" t="str">
        <f>Rozpocet!D279</f>
        <v>712</v>
      </c>
      <c r="B22" s="139" t="str">
        <f>Rozpocet!E279</f>
        <v>Povlakové krytiny</v>
      </c>
      <c r="C22" s="140">
        <f>Rozpocet!I279</f>
        <v>0</v>
      </c>
      <c r="D22" s="141">
        <f>Rozpocet!K279</f>
        <v>0</v>
      </c>
      <c r="E22" s="141">
        <f>Rozpocet!M279</f>
        <v>0.8640000000000001</v>
      </c>
    </row>
    <row r="23" spans="1:5" s="133" customFormat="1" ht="12.75" customHeight="1">
      <c r="A23" s="138" t="str">
        <f>Rozpocet!D283</f>
        <v>713</v>
      </c>
      <c r="B23" s="139" t="str">
        <f>Rozpocet!E283</f>
        <v>Izolace tepelné</v>
      </c>
      <c r="C23" s="140">
        <f>Rozpocet!I283</f>
        <v>0</v>
      </c>
      <c r="D23" s="141">
        <f>Rozpocet!K283</f>
        <v>1.7218467246000002</v>
      </c>
      <c r="E23" s="141">
        <f>Rozpocet!M283</f>
        <v>0</v>
      </c>
    </row>
    <row r="24" spans="1:5" s="133" customFormat="1" ht="12.75" customHeight="1">
      <c r="A24" s="138" t="str">
        <f>Rozpocet!D330</f>
        <v>721</v>
      </c>
      <c r="B24" s="139" t="str">
        <f>Rozpocet!E330</f>
        <v>Zdravotechnika </v>
      </c>
      <c r="C24" s="140">
        <f>Rozpocet!I330</f>
        <v>0</v>
      </c>
      <c r="D24" s="141">
        <f>Rozpocet!K330</f>
        <v>0.01438</v>
      </c>
      <c r="E24" s="141">
        <f>Rozpocet!M330</f>
        <v>0</v>
      </c>
    </row>
    <row r="25" spans="1:5" s="133" customFormat="1" ht="12.75" customHeight="1">
      <c r="A25" s="138" t="str">
        <f>Rozpocet!D335</f>
        <v>723</v>
      </c>
      <c r="B25" s="139" t="str">
        <f>Rozpocet!E335</f>
        <v>Plynovod</v>
      </c>
      <c r="C25" s="140">
        <f>Rozpocet!I335</f>
        <v>0</v>
      </c>
      <c r="D25" s="141">
        <f>Rozpocet!K335</f>
        <v>0.00147</v>
      </c>
      <c r="E25" s="141">
        <f>Rozpocet!M335</f>
        <v>0</v>
      </c>
    </row>
    <row r="26" spans="1:5" s="133" customFormat="1" ht="12.75" customHeight="1">
      <c r="A26" s="138" t="str">
        <f>Rozpocet!D338</f>
        <v>731</v>
      </c>
      <c r="B26" s="139" t="str">
        <f>Rozpocet!E338</f>
        <v>Ústřední vytápění </v>
      </c>
      <c r="C26" s="140">
        <f>Rozpocet!I338</f>
        <v>0</v>
      </c>
      <c r="D26" s="141">
        <f>Rozpocet!K338</f>
        <v>0.01017</v>
      </c>
      <c r="E26" s="141">
        <f>Rozpocet!M338</f>
        <v>0</v>
      </c>
    </row>
    <row r="27" spans="1:5" s="133" customFormat="1" ht="12.75" customHeight="1">
      <c r="A27" s="138" t="str">
        <f>Rozpocet!D341</f>
        <v>741</v>
      </c>
      <c r="B27" s="139" t="str">
        <f>Rozpocet!E341</f>
        <v>Elektromontáže </v>
      </c>
      <c r="C27" s="140">
        <f>Rozpocet!I341</f>
        <v>0</v>
      </c>
      <c r="D27" s="141">
        <f>Rozpocet!K341</f>
        <v>0</v>
      </c>
      <c r="E27" s="141">
        <f>Rozpocet!M341</f>
        <v>0</v>
      </c>
    </row>
    <row r="28" spans="1:5" s="133" customFormat="1" ht="12.75" customHeight="1">
      <c r="A28" s="138" t="str">
        <f>Rozpocet!D344</f>
        <v>751</v>
      </c>
      <c r="B28" s="139" t="str">
        <f>Rozpocet!E344</f>
        <v>Vzduchotechnika</v>
      </c>
      <c r="C28" s="140">
        <f>Rozpocet!I344</f>
        <v>0</v>
      </c>
      <c r="D28" s="141">
        <f>Rozpocet!K344</f>
        <v>0.08679276160000002</v>
      </c>
      <c r="E28" s="141">
        <f>Rozpocet!M344</f>
        <v>0</v>
      </c>
    </row>
    <row r="29" spans="1:5" s="133" customFormat="1" ht="12.75" customHeight="1">
      <c r="A29" s="138" t="str">
        <f>Rozpocet!D362</f>
        <v>762</v>
      </c>
      <c r="B29" s="139" t="str">
        <f>Rozpocet!E362</f>
        <v>Konstrukce tesařské</v>
      </c>
      <c r="C29" s="140">
        <f>Rozpocet!I362</f>
        <v>0</v>
      </c>
      <c r="D29" s="141">
        <f>Rozpocet!K362</f>
        <v>8.4224849</v>
      </c>
      <c r="E29" s="141">
        <f>Rozpocet!M362</f>
        <v>3.519625</v>
      </c>
    </row>
    <row r="30" spans="1:5" s="133" customFormat="1" ht="12.75" customHeight="1">
      <c r="A30" s="138" t="str">
        <f>Rozpocet!D412</f>
        <v>763</v>
      </c>
      <c r="B30" s="139" t="str">
        <f>Rozpocet!E412</f>
        <v>Konstrukce suché výstavby</v>
      </c>
      <c r="C30" s="140">
        <f>Rozpocet!I412</f>
        <v>0</v>
      </c>
      <c r="D30" s="141">
        <f>Rozpocet!K412</f>
        <v>5.9550923849999995</v>
      </c>
      <c r="E30" s="141">
        <f>Rozpocet!M412</f>
        <v>0</v>
      </c>
    </row>
    <row r="31" spans="1:5" s="133" customFormat="1" ht="12.75" customHeight="1">
      <c r="A31" s="138" t="str">
        <f>Rozpocet!D444</f>
        <v>764</v>
      </c>
      <c r="B31" s="139" t="str">
        <f>Rozpocet!E444</f>
        <v>Konstrukce klempířské</v>
      </c>
      <c r="C31" s="140">
        <f>Rozpocet!I444</f>
        <v>0</v>
      </c>
      <c r="D31" s="141">
        <f>Rozpocet!K444</f>
        <v>0.41180235</v>
      </c>
      <c r="E31" s="141">
        <f>Rozpocet!M444</f>
        <v>0.8814488500000002</v>
      </c>
    </row>
    <row r="32" spans="1:5" s="133" customFormat="1" ht="12.75" customHeight="1">
      <c r="A32" s="138" t="str">
        <f>Rozpocet!D469</f>
        <v>765</v>
      </c>
      <c r="B32" s="139" t="str">
        <f>Rozpocet!E469</f>
        <v>Konstrukce pokrývačské</v>
      </c>
      <c r="C32" s="140">
        <f>Rozpocet!I469</f>
        <v>0</v>
      </c>
      <c r="D32" s="141">
        <f>Rozpocet!K469</f>
        <v>12.009669671500001</v>
      </c>
      <c r="E32" s="141">
        <f>Rozpocet!M469</f>
        <v>5.41824</v>
      </c>
    </row>
    <row r="33" spans="1:5" s="133" customFormat="1" ht="12.75" customHeight="1">
      <c r="A33" s="138" t="str">
        <f>Rozpocet!D484</f>
        <v>766</v>
      </c>
      <c r="B33" s="139" t="str">
        <f>Rozpocet!E484</f>
        <v>Konstrukce truhlářské</v>
      </c>
      <c r="C33" s="140">
        <f>Rozpocet!I484</f>
        <v>0</v>
      </c>
      <c r="D33" s="141">
        <f>Rozpocet!K484</f>
        <v>1.7725949750000003</v>
      </c>
      <c r="E33" s="141">
        <f>Rozpocet!M484</f>
        <v>0.1421</v>
      </c>
    </row>
    <row r="34" spans="1:5" s="133" customFormat="1" ht="12.75" customHeight="1">
      <c r="A34" s="138" t="str">
        <f>Rozpocet!D524</f>
        <v>767</v>
      </c>
      <c r="B34" s="139" t="str">
        <f>Rozpocet!E524</f>
        <v>Konstrukce zámečnické</v>
      </c>
      <c r="C34" s="140">
        <f>Rozpocet!I524</f>
        <v>0</v>
      </c>
      <c r="D34" s="141">
        <f>Rozpocet!K524</f>
        <v>0.00129</v>
      </c>
      <c r="E34" s="141">
        <f>Rozpocet!M524</f>
        <v>0</v>
      </c>
    </row>
    <row r="35" spans="1:5" s="133" customFormat="1" ht="12.75" customHeight="1">
      <c r="A35" s="138" t="str">
        <f>Rozpocet!D532</f>
        <v>771</v>
      </c>
      <c r="B35" s="139" t="str">
        <f>Rozpocet!E532</f>
        <v>Podlahy z dlaždic</v>
      </c>
      <c r="C35" s="140">
        <f>Rozpocet!I532</f>
        <v>0</v>
      </c>
      <c r="D35" s="141">
        <f>Rozpocet!K532</f>
        <v>0.6383025</v>
      </c>
      <c r="E35" s="141">
        <f>Rozpocet!M532</f>
        <v>0</v>
      </c>
    </row>
    <row r="36" spans="1:5" s="133" customFormat="1" ht="12.75" customHeight="1">
      <c r="A36" s="138" t="str">
        <f>Rozpocet!D544</f>
        <v>775</v>
      </c>
      <c r="B36" s="139" t="str">
        <f>Rozpocet!E544</f>
        <v>Podlahy skládané (parkety, vlysy, lamely aj.)</v>
      </c>
      <c r="C36" s="140">
        <f>Rozpocet!I544</f>
        <v>0</v>
      </c>
      <c r="D36" s="141">
        <f>Rozpocet!K544</f>
        <v>1.315893546</v>
      </c>
      <c r="E36" s="141">
        <f>Rozpocet!M544</f>
        <v>0</v>
      </c>
    </row>
    <row r="37" spans="1:5" s="133" customFormat="1" ht="12.75" customHeight="1">
      <c r="A37" s="138" t="str">
        <f>Rozpocet!D562</f>
        <v>781</v>
      </c>
      <c r="B37" s="139" t="str">
        <f>Rozpocet!E562</f>
        <v>Dokončovací práce - obklady keramické</v>
      </c>
      <c r="C37" s="140">
        <f>Rozpocet!I562</f>
        <v>0</v>
      </c>
      <c r="D37" s="141">
        <f>Rozpocet!K562</f>
        <v>1.8134920399999999</v>
      </c>
      <c r="E37" s="141">
        <f>Rozpocet!M562</f>
        <v>0</v>
      </c>
    </row>
    <row r="38" spans="1:5" s="133" customFormat="1" ht="12.75" customHeight="1">
      <c r="A38" s="138" t="str">
        <f>Rozpocet!D570</f>
        <v>783</v>
      </c>
      <c r="B38" s="139" t="str">
        <f>Rozpocet!E570</f>
        <v> Dokončovací práce</v>
      </c>
      <c r="C38" s="140">
        <f>Rozpocet!I570</f>
        <v>0</v>
      </c>
      <c r="D38" s="141">
        <f>Rozpocet!K570</f>
        <v>0.0260044206</v>
      </c>
      <c r="E38" s="141">
        <f>Rozpocet!M570</f>
        <v>0</v>
      </c>
    </row>
    <row r="39" spans="1:5" s="133" customFormat="1" ht="12.75" customHeight="1">
      <c r="A39" s="138" t="str">
        <f>Rozpocet!D591</f>
        <v>784</v>
      </c>
      <c r="B39" s="139" t="str">
        <f>Rozpocet!E591</f>
        <v>Dokončovací práce - malby</v>
      </c>
      <c r="C39" s="140">
        <f>Rozpocet!I591</f>
        <v>0</v>
      </c>
      <c r="D39" s="141">
        <f>Rozpocet!K591</f>
        <v>0.24633923999999993</v>
      </c>
      <c r="E39" s="141">
        <f>Rozpocet!M591</f>
        <v>0</v>
      </c>
    </row>
    <row r="40" spans="1:5" s="133" customFormat="1" ht="12.75" customHeight="1">
      <c r="A40" s="134" t="str">
        <f>Rozpocet!D618</f>
        <v>M</v>
      </c>
      <c r="B40" s="135" t="str">
        <f>Rozpocet!E618</f>
        <v>Ostatní</v>
      </c>
      <c r="C40" s="136">
        <f>Rozpocet!I618</f>
        <v>0</v>
      </c>
      <c r="D40" s="137">
        <f>Rozpocet!K618</f>
        <v>0</v>
      </c>
      <c r="E40" s="137">
        <f>Rozpocet!M618</f>
        <v>0</v>
      </c>
    </row>
    <row r="41" spans="1:5" s="133" customFormat="1" ht="12.75" customHeight="1">
      <c r="A41" s="138" t="str">
        <f>Rozpocet!D619</f>
        <v>25-M</v>
      </c>
      <c r="B41" s="139" t="str">
        <f>Rozpocet!E619</f>
        <v>Ostatní náklady spojené se stavbou</v>
      </c>
      <c r="C41" s="140">
        <f>Rozpocet!I619</f>
        <v>0</v>
      </c>
      <c r="D41" s="141">
        <f>Rozpocet!K619</f>
        <v>0</v>
      </c>
      <c r="E41" s="141">
        <f>Rozpocet!M619</f>
        <v>0</v>
      </c>
    </row>
    <row r="42" spans="2:5" s="146" customFormat="1" ht="12.75" customHeight="1">
      <c r="B42" s="147" t="s">
        <v>88</v>
      </c>
      <c r="C42" s="148">
        <f>Rozpocet!I626</f>
        <v>0</v>
      </c>
      <c r="D42" s="149">
        <f>Rozpocet!K626</f>
        <v>165.12662075570003</v>
      </c>
      <c r="E42" s="149">
        <f>Rozpocet!M626</f>
        <v>227.94302824999997</v>
      </c>
    </row>
    <row r="44" ht="12.75" customHeight="1">
      <c r="C44" s="277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629"/>
  <sheetViews>
    <sheetView showGridLines="0" zoomScalePageLayoutView="0" workbookViewId="0" topLeftCell="A344">
      <selection activeCell="U331" sqref="U331"/>
    </sheetView>
  </sheetViews>
  <sheetFormatPr defaultColWidth="9.140625" defaultRowHeight="11.25" customHeight="1" outlineLevelRow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5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0"/>
      <c r="R1" s="150"/>
      <c r="S1" s="150"/>
      <c r="T1" s="150"/>
    </row>
    <row r="2" spans="1:20" ht="11.25" customHeight="1">
      <c r="A2" s="117" t="s">
        <v>76</v>
      </c>
      <c r="B2" s="118"/>
      <c r="C2" s="118" t="str">
        <f>'Krycí list'!E5</f>
        <v>Podkrovní byty Dr. Zikmunda Wintra 432-8</v>
      </c>
      <c r="D2" s="118"/>
      <c r="E2" s="118"/>
      <c r="F2" s="118"/>
      <c r="G2" s="118"/>
      <c r="H2" s="118"/>
      <c r="I2" s="118"/>
      <c r="J2" s="118"/>
      <c r="K2" s="118"/>
      <c r="L2" s="150"/>
      <c r="M2" s="150"/>
      <c r="N2" s="150"/>
      <c r="O2" s="151"/>
      <c r="P2" s="151"/>
      <c r="Q2" s="150"/>
      <c r="R2" s="150"/>
      <c r="S2" s="150"/>
      <c r="T2" s="150"/>
    </row>
    <row r="3" spans="1:20" ht="11.25" customHeight="1">
      <c r="A3" s="117" t="s">
        <v>77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50"/>
      <c r="M3" s="150"/>
      <c r="N3" s="150"/>
      <c r="O3" s="151"/>
      <c r="P3" s="151"/>
      <c r="Q3" s="150"/>
      <c r="R3" s="150"/>
      <c r="S3" s="150"/>
      <c r="T3" s="150"/>
    </row>
    <row r="4" spans="1:20" ht="11.25" customHeight="1">
      <c r="A4" s="117" t="s">
        <v>78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50"/>
      <c r="M4" s="150"/>
      <c r="N4" s="150"/>
      <c r="O4" s="151"/>
      <c r="P4" s="151"/>
      <c r="Q4" s="150"/>
      <c r="R4" s="150"/>
      <c r="S4" s="150"/>
      <c r="T4" s="150"/>
    </row>
    <row r="5" spans="1:20" ht="11.25" customHeight="1">
      <c r="A5" s="118" t="s">
        <v>90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50"/>
      <c r="M5" s="150"/>
      <c r="N5" s="150"/>
      <c r="O5" s="151"/>
      <c r="P5" s="151"/>
      <c r="Q5" s="150"/>
      <c r="R5" s="150"/>
      <c r="S5" s="150"/>
      <c r="T5" s="150"/>
    </row>
    <row r="6" spans="1:20" ht="6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50"/>
      <c r="M6" s="150"/>
      <c r="N6" s="150"/>
      <c r="O6" s="151"/>
      <c r="P6" s="151"/>
      <c r="Q6" s="150"/>
      <c r="R6" s="150"/>
      <c r="S6" s="150"/>
      <c r="T6" s="150"/>
    </row>
    <row r="7" spans="1:20" ht="11.25" customHeight="1">
      <c r="A7" s="118" t="s">
        <v>80</v>
      </c>
      <c r="B7" s="118"/>
      <c r="C7" s="118" t="str">
        <f>'Krycí list'!E26</f>
        <v>Městská část Praha 6 </v>
      </c>
      <c r="D7" s="118"/>
      <c r="E7" s="118"/>
      <c r="F7" s="118"/>
      <c r="G7" s="118"/>
      <c r="H7" s="118"/>
      <c r="I7" s="118"/>
      <c r="J7" s="118"/>
      <c r="K7" s="118"/>
      <c r="L7" s="150"/>
      <c r="M7" s="150"/>
      <c r="N7" s="150"/>
      <c r="O7" s="151"/>
      <c r="P7" s="151"/>
      <c r="Q7" s="150"/>
      <c r="R7" s="150"/>
      <c r="S7" s="150"/>
      <c r="T7" s="150"/>
    </row>
    <row r="8" spans="1:20" ht="11.25" customHeight="1">
      <c r="A8" s="118" t="s">
        <v>81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50"/>
      <c r="M8" s="150"/>
      <c r="N8" s="150"/>
      <c r="O8" s="151"/>
      <c r="P8" s="151"/>
      <c r="Q8" s="150"/>
      <c r="R8" s="150"/>
      <c r="S8" s="150"/>
      <c r="T8" s="150"/>
    </row>
    <row r="9" spans="1:20" ht="11.25" customHeight="1">
      <c r="A9" s="118" t="s">
        <v>82</v>
      </c>
      <c r="B9" s="118"/>
      <c r="C9" s="247" t="str">
        <f>'Krycí list'!$O$31</f>
        <v>20.1.2015</v>
      </c>
      <c r="D9" s="118"/>
      <c r="E9" s="118"/>
      <c r="F9" s="118"/>
      <c r="G9" s="117" t="str">
        <f>'Krycí list'!$E$29</f>
        <v>Cenová soustava URS</v>
      </c>
      <c r="H9" s="118"/>
      <c r="I9" s="118"/>
      <c r="J9" s="118"/>
      <c r="K9" s="118"/>
      <c r="L9" s="150"/>
      <c r="M9" s="150"/>
      <c r="N9" s="150"/>
      <c r="O9" s="151"/>
      <c r="P9" s="151"/>
      <c r="Q9" s="150"/>
      <c r="R9" s="150"/>
      <c r="S9" s="150"/>
      <c r="T9" s="150"/>
    </row>
    <row r="10" spans="1:20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0"/>
      <c r="R10" s="150"/>
      <c r="S10" s="150"/>
      <c r="T10" s="150"/>
    </row>
    <row r="11" spans="1:21" ht="21.75" customHeight="1">
      <c r="A11" s="122" t="s">
        <v>91</v>
      </c>
      <c r="B11" s="123" t="s">
        <v>92</v>
      </c>
      <c r="C11" s="123" t="s">
        <v>93</v>
      </c>
      <c r="D11" s="123" t="s">
        <v>94</v>
      </c>
      <c r="E11" s="123" t="s">
        <v>84</v>
      </c>
      <c r="F11" s="123" t="s">
        <v>95</v>
      </c>
      <c r="G11" s="123" t="s">
        <v>96</v>
      </c>
      <c r="H11" s="123" t="s">
        <v>97</v>
      </c>
      <c r="I11" s="123" t="s">
        <v>85</v>
      </c>
      <c r="J11" s="123" t="s">
        <v>98</v>
      </c>
      <c r="K11" s="123" t="s">
        <v>86</v>
      </c>
      <c r="L11" s="123" t="s">
        <v>99</v>
      </c>
      <c r="M11" s="123" t="s">
        <v>100</v>
      </c>
      <c r="N11" s="123" t="s">
        <v>101</v>
      </c>
      <c r="O11" s="152" t="s">
        <v>102</v>
      </c>
      <c r="P11" s="153" t="s">
        <v>103</v>
      </c>
      <c r="Q11" s="123"/>
      <c r="R11" s="123"/>
      <c r="S11" s="123"/>
      <c r="T11" s="154" t="s">
        <v>104</v>
      </c>
      <c r="U11" s="155"/>
    </row>
    <row r="12" spans="1:2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7">
        <v>10</v>
      </c>
      <c r="O12" s="156">
        <v>11</v>
      </c>
      <c r="P12" s="157">
        <v>12</v>
      </c>
      <c r="Q12" s="127"/>
      <c r="R12" s="127"/>
      <c r="S12" s="127"/>
      <c r="T12" s="158">
        <v>11</v>
      </c>
      <c r="U12" s="155"/>
    </row>
    <row r="13" spans="1:20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9"/>
      <c r="Q13" s="150"/>
      <c r="R13" s="150"/>
      <c r="S13" s="150"/>
      <c r="T13" s="150"/>
    </row>
    <row r="14" spans="1:16" s="133" customFormat="1" ht="12.75" customHeight="1">
      <c r="A14" s="160"/>
      <c r="B14" s="161" t="s">
        <v>63</v>
      </c>
      <c r="C14" s="160"/>
      <c r="D14" s="160" t="s">
        <v>42</v>
      </c>
      <c r="E14" s="160" t="s">
        <v>105</v>
      </c>
      <c r="F14" s="160"/>
      <c r="G14" s="160"/>
      <c r="H14" s="160"/>
      <c r="I14" s="162">
        <f>I15+I93+I127+I214</f>
        <v>0</v>
      </c>
      <c r="J14" s="160"/>
      <c r="K14" s="163">
        <f>K15+K93+K127+K214</f>
        <v>130.54474424140002</v>
      </c>
      <c r="L14" s="160"/>
      <c r="M14" s="163">
        <f>M15+M93+M127+M214</f>
        <v>217.11761439999998</v>
      </c>
      <c r="N14" s="160"/>
      <c r="P14" s="135" t="s">
        <v>106</v>
      </c>
    </row>
    <row r="15" spans="2:16" s="133" customFormat="1" ht="12.75" customHeight="1">
      <c r="B15" s="138" t="s">
        <v>63</v>
      </c>
      <c r="D15" s="139" t="s">
        <v>107</v>
      </c>
      <c r="E15" s="139" t="s">
        <v>108</v>
      </c>
      <c r="I15" s="140">
        <f>SUM(I16:I92)</f>
        <v>0</v>
      </c>
      <c r="K15" s="141">
        <f>SUM(K16:K92)</f>
        <v>46.57088332110001</v>
      </c>
      <c r="M15" s="141">
        <f>SUM(M16:M92)</f>
        <v>0</v>
      </c>
      <c r="P15" s="139" t="s">
        <v>109</v>
      </c>
    </row>
    <row r="16" spans="1:16" s="14" customFormat="1" ht="13.5" customHeight="1" collapsed="1">
      <c r="A16" s="164" t="s">
        <v>109</v>
      </c>
      <c r="B16" s="164" t="s">
        <v>110</v>
      </c>
      <c r="C16" s="164" t="s">
        <v>111</v>
      </c>
      <c r="D16" s="165" t="s">
        <v>112</v>
      </c>
      <c r="E16" s="166" t="s">
        <v>113</v>
      </c>
      <c r="F16" s="164" t="s">
        <v>114</v>
      </c>
      <c r="G16" s="167">
        <f>G17</f>
        <v>0.156</v>
      </c>
      <c r="H16" s="367"/>
      <c r="I16" s="168">
        <f>ROUND(G16*H16,2)</f>
        <v>0</v>
      </c>
      <c r="J16" s="169">
        <v>1.7545</v>
      </c>
      <c r="K16" s="167">
        <f>G16*J16</f>
        <v>0.273702</v>
      </c>
      <c r="L16" s="169">
        <v>0</v>
      </c>
      <c r="M16" s="167">
        <f>G16*L16</f>
        <v>0</v>
      </c>
      <c r="N16" s="170">
        <v>15</v>
      </c>
      <c r="O16" s="171">
        <v>4</v>
      </c>
      <c r="P16" s="14" t="s">
        <v>115</v>
      </c>
    </row>
    <row r="17" spans="4:19" s="14" customFormat="1" ht="15.75" customHeight="1" hidden="1" outlineLevel="1">
      <c r="D17" s="172"/>
      <c r="E17" s="173" t="s">
        <v>1301</v>
      </c>
      <c r="G17" s="174">
        <f>0.52*1*0.3</f>
        <v>0.156</v>
      </c>
      <c r="P17" s="172" t="s">
        <v>115</v>
      </c>
      <c r="Q17" s="172" t="s">
        <v>115</v>
      </c>
      <c r="R17" s="172" t="s">
        <v>116</v>
      </c>
      <c r="S17" s="172" t="s">
        <v>106</v>
      </c>
    </row>
    <row r="18" spans="1:16" s="14" customFormat="1" ht="13.5" customHeight="1" collapsed="1">
      <c r="A18" s="164" t="s">
        <v>115</v>
      </c>
      <c r="B18" s="164" t="s">
        <v>110</v>
      </c>
      <c r="C18" s="164" t="s">
        <v>111</v>
      </c>
      <c r="D18" s="165" t="s">
        <v>117</v>
      </c>
      <c r="E18" s="166" t="s">
        <v>118</v>
      </c>
      <c r="F18" s="164" t="s">
        <v>114</v>
      </c>
      <c r="G18" s="271">
        <f>SUM(G19:G20)</f>
        <v>3.2095125</v>
      </c>
      <c r="H18" s="367"/>
      <c r="I18" s="168">
        <f>ROUND(G18*H18,2)</f>
        <v>0</v>
      </c>
      <c r="J18" s="169">
        <v>1.7545</v>
      </c>
      <c r="K18" s="167">
        <f>G18*J18</f>
        <v>5.631089681250001</v>
      </c>
      <c r="L18" s="169">
        <v>0</v>
      </c>
      <c r="M18" s="167">
        <f>G18*L18</f>
        <v>0</v>
      </c>
      <c r="N18" s="170">
        <v>15</v>
      </c>
      <c r="O18" s="171">
        <v>4</v>
      </c>
      <c r="P18" s="14" t="s">
        <v>115</v>
      </c>
    </row>
    <row r="19" spans="4:19" s="14" customFormat="1" ht="15.75" customHeight="1" hidden="1" outlineLevel="1">
      <c r="D19" s="172"/>
      <c r="E19" s="173" t="s">
        <v>1302</v>
      </c>
      <c r="G19" s="174">
        <f>1.05*0.5*2.2+0.95*0.3*2.62</f>
        <v>1.9017000000000002</v>
      </c>
      <c r="P19" s="172" t="s">
        <v>115</v>
      </c>
      <c r="Q19" s="172" t="s">
        <v>115</v>
      </c>
      <c r="R19" s="172" t="s">
        <v>116</v>
      </c>
      <c r="S19" s="172" t="s">
        <v>106</v>
      </c>
    </row>
    <row r="20" spans="4:19" s="14" customFormat="1" ht="15.75" customHeight="1" hidden="1" outlineLevel="1">
      <c r="D20" s="172"/>
      <c r="E20" s="173" t="s">
        <v>1303</v>
      </c>
      <c r="G20" s="174">
        <f>1.25*0.465*2.25</f>
        <v>1.3078125</v>
      </c>
      <c r="P20" s="172" t="s">
        <v>115</v>
      </c>
      <c r="Q20" s="172" t="s">
        <v>115</v>
      </c>
      <c r="R20" s="172" t="s">
        <v>116</v>
      </c>
      <c r="S20" s="172" t="s">
        <v>106</v>
      </c>
    </row>
    <row r="21" spans="1:16" s="14" customFormat="1" ht="13.5" customHeight="1" collapsed="1">
      <c r="A21" s="164" t="s">
        <v>107</v>
      </c>
      <c r="B21" s="164" t="s">
        <v>110</v>
      </c>
      <c r="C21" s="164" t="s">
        <v>119</v>
      </c>
      <c r="D21" s="165" t="s">
        <v>120</v>
      </c>
      <c r="E21" s="166" t="s">
        <v>121</v>
      </c>
      <c r="F21" s="164" t="s">
        <v>114</v>
      </c>
      <c r="G21" s="167">
        <f>SUM(G22:G25)</f>
        <v>5.32879</v>
      </c>
      <c r="H21" s="367"/>
      <c r="I21" s="168">
        <f>ROUND(G21*H21,2)</f>
        <v>0</v>
      </c>
      <c r="J21" s="169">
        <v>1.6627</v>
      </c>
      <c r="K21" s="167">
        <f>G21*J21</f>
        <v>8.860179132999999</v>
      </c>
      <c r="L21" s="169">
        <v>0</v>
      </c>
      <c r="M21" s="167">
        <f>G21*L21</f>
        <v>0</v>
      </c>
      <c r="N21" s="170">
        <v>15</v>
      </c>
      <c r="O21" s="171">
        <v>4</v>
      </c>
      <c r="P21" s="14" t="s">
        <v>115</v>
      </c>
    </row>
    <row r="22" spans="4:19" s="14" customFormat="1" ht="15.75" customHeight="1" hidden="1" outlineLevel="1">
      <c r="D22" s="172"/>
      <c r="E22" s="173" t="s">
        <v>1307</v>
      </c>
      <c r="G22" s="174">
        <f>(4.05+3.35)*(5.13-2.9+3)/2*0.15/2</f>
        <v>1.4513250000000002</v>
      </c>
      <c r="P22" s="172" t="s">
        <v>115</v>
      </c>
      <c r="Q22" s="172" t="s">
        <v>115</v>
      </c>
      <c r="R22" s="172" t="s">
        <v>116</v>
      </c>
      <c r="S22" s="172" t="s">
        <v>106</v>
      </c>
    </row>
    <row r="23" spans="4:19" s="14" customFormat="1" ht="15.75" customHeight="1" hidden="1" outlineLevel="1">
      <c r="D23" s="172"/>
      <c r="E23" s="173" t="s">
        <v>1306</v>
      </c>
      <c r="G23" s="174">
        <f>(0.75+0.65)*0.465*(20.27-20.19+3.1)/2</f>
        <v>1.0350899999999996</v>
      </c>
      <c r="P23" s="172" t="s">
        <v>115</v>
      </c>
      <c r="Q23" s="172" t="s">
        <v>115</v>
      </c>
      <c r="R23" s="172" t="s">
        <v>116</v>
      </c>
      <c r="S23" s="172" t="s">
        <v>106</v>
      </c>
    </row>
    <row r="24" spans="4:19" s="14" customFormat="1" ht="15.75" customHeight="1" hidden="1" outlineLevel="1">
      <c r="D24" s="172"/>
      <c r="E24" s="173" t="s">
        <v>1305</v>
      </c>
      <c r="G24" s="174">
        <f>(2.7+3.15)*0.15*1.7/2</f>
        <v>0.745875</v>
      </c>
      <c r="P24" s="172" t="s">
        <v>115</v>
      </c>
      <c r="Q24" s="172" t="s">
        <v>115</v>
      </c>
      <c r="R24" s="172" t="s">
        <v>116</v>
      </c>
      <c r="S24" s="172" t="s">
        <v>106</v>
      </c>
    </row>
    <row r="25" spans="4:19" s="14" customFormat="1" ht="15.75" customHeight="1" hidden="1" outlineLevel="1">
      <c r="D25" s="172"/>
      <c r="E25" s="173" t="s">
        <v>1304</v>
      </c>
      <c r="G25" s="174">
        <f>0.4*0.5*20.965/2</f>
        <v>2.0965000000000003</v>
      </c>
      <c r="P25" s="172" t="s">
        <v>115</v>
      </c>
      <c r="Q25" s="172" t="s">
        <v>115</v>
      </c>
      <c r="R25" s="172" t="s">
        <v>116</v>
      </c>
      <c r="S25" s="172" t="s">
        <v>106</v>
      </c>
    </row>
    <row r="26" spans="1:16" s="14" customFormat="1" ht="13.5" customHeight="1" collapsed="1">
      <c r="A26" s="164" t="s">
        <v>122</v>
      </c>
      <c r="B26" s="164" t="s">
        <v>110</v>
      </c>
      <c r="C26" s="164" t="s">
        <v>119</v>
      </c>
      <c r="D26" s="165" t="s">
        <v>123</v>
      </c>
      <c r="E26" s="166" t="s">
        <v>1477</v>
      </c>
      <c r="F26" s="164" t="s">
        <v>124</v>
      </c>
      <c r="G26" s="167">
        <f>G27</f>
        <v>14.678</v>
      </c>
      <c r="H26" s="367"/>
      <c r="I26" s="168">
        <f>ROUND(G26*H26,2)</f>
        <v>0</v>
      </c>
      <c r="J26" s="169">
        <v>0.25041</v>
      </c>
      <c r="K26" s="167">
        <f>G26*J26</f>
        <v>3.6755179800000004</v>
      </c>
      <c r="L26" s="169">
        <v>0</v>
      </c>
      <c r="M26" s="167">
        <f>G26*L26</f>
        <v>0</v>
      </c>
      <c r="N26" s="170">
        <v>15</v>
      </c>
      <c r="O26" s="171">
        <v>4</v>
      </c>
      <c r="P26" s="14" t="s">
        <v>115</v>
      </c>
    </row>
    <row r="27" spans="4:19" s="14" customFormat="1" ht="15.75" customHeight="1" hidden="1" outlineLevel="1">
      <c r="D27" s="172"/>
      <c r="E27" s="173" t="s">
        <v>125</v>
      </c>
      <c r="G27" s="174">
        <v>14.678</v>
      </c>
      <c r="P27" s="172" t="s">
        <v>115</v>
      </c>
      <c r="Q27" s="172" t="s">
        <v>115</v>
      </c>
      <c r="R27" s="172" t="s">
        <v>116</v>
      </c>
      <c r="S27" s="172" t="s">
        <v>106</v>
      </c>
    </row>
    <row r="28" spans="1:16" s="14" customFormat="1" ht="13.5" customHeight="1" collapsed="1">
      <c r="A28" s="164" t="s">
        <v>126</v>
      </c>
      <c r="B28" s="164" t="s">
        <v>110</v>
      </c>
      <c r="C28" s="164" t="s">
        <v>119</v>
      </c>
      <c r="D28" s="165" t="s">
        <v>127</v>
      </c>
      <c r="E28" s="166" t="s">
        <v>1478</v>
      </c>
      <c r="F28" s="164" t="s">
        <v>124</v>
      </c>
      <c r="G28" s="167">
        <f>G29</f>
        <v>3.6</v>
      </c>
      <c r="H28" s="367"/>
      <c r="I28" s="168">
        <f>ROUND(G28*H28,2)</f>
        <v>0</v>
      </c>
      <c r="J28" s="169">
        <v>0.29284</v>
      </c>
      <c r="K28" s="167">
        <f>G28*J28</f>
        <v>1.054224</v>
      </c>
      <c r="L28" s="169">
        <v>0</v>
      </c>
      <c r="M28" s="167">
        <f>G28*L28</f>
        <v>0</v>
      </c>
      <c r="N28" s="170">
        <v>15</v>
      </c>
      <c r="O28" s="171">
        <v>4</v>
      </c>
      <c r="P28" s="14" t="s">
        <v>115</v>
      </c>
    </row>
    <row r="29" spans="4:19" s="14" customFormat="1" ht="15.75" customHeight="1" hidden="1" outlineLevel="1">
      <c r="D29" s="172"/>
      <c r="E29" s="173" t="s">
        <v>1308</v>
      </c>
      <c r="G29" s="174">
        <f>2.67*2.5-2.05*1.5</f>
        <v>3.6</v>
      </c>
      <c r="P29" s="172" t="s">
        <v>115</v>
      </c>
      <c r="Q29" s="172" t="s">
        <v>115</v>
      </c>
      <c r="R29" s="172" t="s">
        <v>116</v>
      </c>
      <c r="S29" s="172" t="s">
        <v>106</v>
      </c>
    </row>
    <row r="30" spans="1:16" s="14" customFormat="1" ht="24" customHeight="1" collapsed="1">
      <c r="A30" s="164" t="s">
        <v>128</v>
      </c>
      <c r="B30" s="164" t="s">
        <v>110</v>
      </c>
      <c r="C30" s="164" t="s">
        <v>119</v>
      </c>
      <c r="D30" s="165" t="s">
        <v>129</v>
      </c>
      <c r="E30" s="166" t="s">
        <v>1479</v>
      </c>
      <c r="F30" s="164" t="s">
        <v>114</v>
      </c>
      <c r="G30" s="167">
        <f>G31</f>
        <v>2.368</v>
      </c>
      <c r="H30" s="367"/>
      <c r="I30" s="168">
        <f>ROUND(G30*H30,2)</f>
        <v>0</v>
      </c>
      <c r="J30" s="169">
        <v>0.70068</v>
      </c>
      <c r="K30" s="167">
        <f>G30*J30</f>
        <v>1.65921024</v>
      </c>
      <c r="L30" s="169">
        <v>0</v>
      </c>
      <c r="M30" s="167">
        <f>G30*L30</f>
        <v>0</v>
      </c>
      <c r="N30" s="170">
        <v>15</v>
      </c>
      <c r="O30" s="171">
        <v>4</v>
      </c>
      <c r="P30" s="14" t="s">
        <v>115</v>
      </c>
    </row>
    <row r="31" spans="4:19" s="14" customFormat="1" ht="15.75" customHeight="1" hidden="1" outlineLevel="1">
      <c r="D31" s="172"/>
      <c r="E31" s="173" t="s">
        <v>1309</v>
      </c>
      <c r="G31" s="174">
        <f>(1.68*2.85-1.1*2.2)</f>
        <v>2.368</v>
      </c>
      <c r="P31" s="172" t="s">
        <v>115</v>
      </c>
      <c r="Q31" s="172" t="s">
        <v>115</v>
      </c>
      <c r="R31" s="172" t="s">
        <v>116</v>
      </c>
      <c r="S31" s="172" t="s">
        <v>106</v>
      </c>
    </row>
    <row r="32" spans="1:16" s="14" customFormat="1" ht="24" customHeight="1" collapsed="1">
      <c r="A32" s="164" t="s">
        <v>130</v>
      </c>
      <c r="B32" s="164" t="s">
        <v>110</v>
      </c>
      <c r="C32" s="164" t="s">
        <v>111</v>
      </c>
      <c r="D32" s="165" t="s">
        <v>131</v>
      </c>
      <c r="E32" s="166" t="s">
        <v>132</v>
      </c>
      <c r="F32" s="164" t="s">
        <v>114</v>
      </c>
      <c r="G32" s="167">
        <f>SUM(G33:G37)</f>
        <v>4.669029</v>
      </c>
      <c r="H32" s="367"/>
      <c r="I32" s="168">
        <f>ROUND(G32*H32,2)</f>
        <v>0</v>
      </c>
      <c r="J32" s="169">
        <v>1.8702</v>
      </c>
      <c r="K32" s="167">
        <f>G32*J32</f>
        <v>8.732018035800001</v>
      </c>
      <c r="L32" s="169">
        <v>0</v>
      </c>
      <c r="M32" s="167">
        <f>G32*L32</f>
        <v>0</v>
      </c>
      <c r="N32" s="170">
        <v>15</v>
      </c>
      <c r="O32" s="171">
        <v>4</v>
      </c>
      <c r="P32" s="14" t="s">
        <v>115</v>
      </c>
    </row>
    <row r="33" spans="4:19" s="14" customFormat="1" ht="15.75" customHeight="1" hidden="1" outlineLevel="1">
      <c r="D33" s="175"/>
      <c r="E33" s="176" t="s">
        <v>133</v>
      </c>
      <c r="G33" s="177"/>
      <c r="P33" s="175" t="s">
        <v>115</v>
      </c>
      <c r="Q33" s="175" t="s">
        <v>109</v>
      </c>
      <c r="R33" s="175" t="s">
        <v>116</v>
      </c>
      <c r="S33" s="175" t="s">
        <v>106</v>
      </c>
    </row>
    <row r="34" spans="4:19" s="14" customFormat="1" ht="15.75" customHeight="1" hidden="1" outlineLevel="1">
      <c r="D34" s="172"/>
      <c r="E34" s="173" t="s">
        <v>1310</v>
      </c>
      <c r="G34" s="174">
        <f>2.1*0.48*(23.725-22.45)</f>
        <v>1.2852000000000021</v>
      </c>
      <c r="P34" s="172" t="s">
        <v>115</v>
      </c>
      <c r="Q34" s="172" t="s">
        <v>115</v>
      </c>
      <c r="R34" s="172" t="s">
        <v>116</v>
      </c>
      <c r="S34" s="172" t="s">
        <v>106</v>
      </c>
    </row>
    <row r="35" spans="4:19" s="14" customFormat="1" ht="15.75" customHeight="1" hidden="1" outlineLevel="1">
      <c r="D35" s="175"/>
      <c r="E35" s="176" t="s">
        <v>134</v>
      </c>
      <c r="G35" s="178"/>
      <c r="P35" s="175" t="s">
        <v>115</v>
      </c>
      <c r="Q35" s="175" t="s">
        <v>109</v>
      </c>
      <c r="R35" s="175" t="s">
        <v>116</v>
      </c>
      <c r="S35" s="175" t="s">
        <v>106</v>
      </c>
    </row>
    <row r="36" spans="4:19" s="14" customFormat="1" ht="15.75" customHeight="1" hidden="1" outlineLevel="1">
      <c r="D36" s="172"/>
      <c r="E36" s="173" t="s">
        <v>135</v>
      </c>
      <c r="G36" s="174">
        <f>(0.89*0.565)-(0.265*0.59)*(23.19-21.98)</f>
        <v>0.3136664999999998</v>
      </c>
      <c r="P36" s="172" t="s">
        <v>115</v>
      </c>
      <c r="Q36" s="172" t="s">
        <v>115</v>
      </c>
      <c r="R36" s="172" t="s">
        <v>116</v>
      </c>
      <c r="S36" s="172" t="s">
        <v>106</v>
      </c>
    </row>
    <row r="37" spans="4:19" s="14" customFormat="1" ht="15.75" customHeight="1" hidden="1" outlineLevel="1">
      <c r="D37" s="172"/>
      <c r="E37" s="173" t="s">
        <v>1311</v>
      </c>
      <c r="G37" s="174">
        <f>2.375*0.465*(24.63-21.85)</f>
        <v>3.0701624999999977</v>
      </c>
      <c r="P37" s="172" t="s">
        <v>115</v>
      </c>
      <c r="Q37" s="172" t="s">
        <v>115</v>
      </c>
      <c r="R37" s="172" t="s">
        <v>116</v>
      </c>
      <c r="S37" s="172" t="s">
        <v>106</v>
      </c>
    </row>
    <row r="38" spans="1:16" s="14" customFormat="1" ht="21" customHeight="1" collapsed="1">
      <c r="A38" s="164" t="s">
        <v>136</v>
      </c>
      <c r="B38" s="164" t="s">
        <v>110</v>
      </c>
      <c r="C38" s="164" t="s">
        <v>119</v>
      </c>
      <c r="D38" s="165" t="s">
        <v>137</v>
      </c>
      <c r="E38" s="166" t="s">
        <v>138</v>
      </c>
      <c r="F38" s="164" t="s">
        <v>124</v>
      </c>
      <c r="G38" s="167">
        <f>SUM(G39:G44)</f>
        <v>4.126575</v>
      </c>
      <c r="H38" s="367"/>
      <c r="I38" s="168">
        <f>ROUND(G38*H38,2)</f>
        <v>0</v>
      </c>
      <c r="J38" s="169">
        <v>0.25591</v>
      </c>
      <c r="K38" s="167">
        <f>G38*J38</f>
        <v>1.05603180825</v>
      </c>
      <c r="L38" s="169">
        <v>0</v>
      </c>
      <c r="M38" s="167">
        <f>G38*L38</f>
        <v>0</v>
      </c>
      <c r="N38" s="170">
        <v>15</v>
      </c>
      <c r="O38" s="171">
        <v>4</v>
      </c>
      <c r="P38" s="14" t="s">
        <v>115</v>
      </c>
    </row>
    <row r="39" spans="4:19" s="14" customFormat="1" ht="15.75" customHeight="1" hidden="1" outlineLevel="1">
      <c r="D39" s="175"/>
      <c r="E39" s="176" t="s">
        <v>133</v>
      </c>
      <c r="G39" s="177"/>
      <c r="P39" s="175" t="s">
        <v>115</v>
      </c>
      <c r="Q39" s="175" t="s">
        <v>109</v>
      </c>
      <c r="R39" s="175" t="s">
        <v>116</v>
      </c>
      <c r="S39" s="175" t="s">
        <v>106</v>
      </c>
    </row>
    <row r="40" spans="4:19" s="14" customFormat="1" ht="15.75" customHeight="1" hidden="1" outlineLevel="1">
      <c r="D40" s="172"/>
      <c r="E40" s="173" t="s">
        <v>1314</v>
      </c>
      <c r="G40" s="174">
        <f>2.1*0.48</f>
        <v>1.008</v>
      </c>
      <c r="P40" s="172" t="s">
        <v>115</v>
      </c>
      <c r="Q40" s="172" t="s">
        <v>115</v>
      </c>
      <c r="R40" s="172" t="s">
        <v>116</v>
      </c>
      <c r="S40" s="172" t="s">
        <v>106</v>
      </c>
    </row>
    <row r="41" spans="4:19" s="14" customFormat="1" ht="15.75" customHeight="1" hidden="1" outlineLevel="1">
      <c r="D41" s="172"/>
      <c r="E41" s="173" t="s">
        <v>1313</v>
      </c>
      <c r="G41" s="174">
        <f>1.75*0.48</f>
        <v>0.84</v>
      </c>
      <c r="P41" s="172" t="s">
        <v>115</v>
      </c>
      <c r="Q41" s="172" t="s">
        <v>115</v>
      </c>
      <c r="R41" s="172" t="s">
        <v>116</v>
      </c>
      <c r="S41" s="172" t="s">
        <v>106</v>
      </c>
    </row>
    <row r="42" spans="4:19" s="14" customFormat="1" ht="15.75" customHeight="1" hidden="1" outlineLevel="1">
      <c r="D42" s="175"/>
      <c r="E42" s="176" t="s">
        <v>134</v>
      </c>
      <c r="G42" s="178"/>
      <c r="P42" s="175" t="s">
        <v>115</v>
      </c>
      <c r="Q42" s="175" t="s">
        <v>109</v>
      </c>
      <c r="R42" s="175" t="s">
        <v>116</v>
      </c>
      <c r="S42" s="175" t="s">
        <v>106</v>
      </c>
    </row>
    <row r="43" spans="4:19" s="14" customFormat="1" ht="15.75" customHeight="1" hidden="1" outlineLevel="1">
      <c r="D43" s="172"/>
      <c r="E43" s="173" t="s">
        <v>139</v>
      </c>
      <c r="G43" s="174">
        <f>(0.89*0.565)-(0.265*0.59)</f>
        <v>0.3464999999999999</v>
      </c>
      <c r="P43" s="172" t="s">
        <v>115</v>
      </c>
      <c r="Q43" s="172" t="s">
        <v>115</v>
      </c>
      <c r="R43" s="172" t="s">
        <v>116</v>
      </c>
      <c r="S43" s="172" t="s">
        <v>106</v>
      </c>
    </row>
    <row r="44" spans="4:19" s="14" customFormat="1" ht="15.75" customHeight="1" hidden="1" outlineLevel="1">
      <c r="D44" s="172"/>
      <c r="E44" s="173" t="s">
        <v>1312</v>
      </c>
      <c r="G44" s="174">
        <f>(2.375+1.78)*0.465</f>
        <v>1.9320750000000002</v>
      </c>
      <c r="P44" s="172" t="s">
        <v>115</v>
      </c>
      <c r="Q44" s="172" t="s">
        <v>115</v>
      </c>
      <c r="R44" s="172" t="s">
        <v>116</v>
      </c>
      <c r="S44" s="172" t="s">
        <v>106</v>
      </c>
    </row>
    <row r="45" spans="1:16" s="14" customFormat="1" ht="13.5" customHeight="1" collapsed="1">
      <c r="A45" s="164" t="s">
        <v>140</v>
      </c>
      <c r="B45" s="164" t="s">
        <v>110</v>
      </c>
      <c r="C45" s="164" t="s">
        <v>119</v>
      </c>
      <c r="D45" s="165" t="s">
        <v>141</v>
      </c>
      <c r="E45" s="166" t="s">
        <v>142</v>
      </c>
      <c r="F45" s="164" t="s">
        <v>143</v>
      </c>
      <c r="G45" s="167">
        <v>4</v>
      </c>
      <c r="H45" s="367"/>
      <c r="I45" s="168">
        <f>ROUND(G45*H45,2)</f>
        <v>0</v>
      </c>
      <c r="J45" s="169">
        <v>0.00918</v>
      </c>
      <c r="K45" s="167">
        <f>G45*J45</f>
        <v>0.03672</v>
      </c>
      <c r="L45" s="169">
        <v>0</v>
      </c>
      <c r="M45" s="167">
        <f>G45*L45</f>
        <v>0</v>
      </c>
      <c r="N45" s="170">
        <v>15</v>
      </c>
      <c r="O45" s="171">
        <v>4</v>
      </c>
      <c r="P45" s="14" t="s">
        <v>115</v>
      </c>
    </row>
    <row r="46" spans="4:19" s="14" customFormat="1" ht="15.75" customHeight="1" hidden="1" outlineLevel="1">
      <c r="D46" s="172"/>
      <c r="E46" s="173" t="s">
        <v>144</v>
      </c>
      <c r="G46" s="174">
        <v>1</v>
      </c>
      <c r="P46" s="172" t="s">
        <v>115</v>
      </c>
      <c r="Q46" s="172" t="s">
        <v>115</v>
      </c>
      <c r="R46" s="172" t="s">
        <v>116</v>
      </c>
      <c r="S46" s="172" t="s">
        <v>106</v>
      </c>
    </row>
    <row r="47" spans="4:19" s="14" customFormat="1" ht="15.75" customHeight="1" hidden="1" outlineLevel="1">
      <c r="D47" s="172"/>
      <c r="E47" s="173" t="s">
        <v>1315</v>
      </c>
      <c r="G47" s="174">
        <v>3</v>
      </c>
      <c r="P47" s="172" t="s">
        <v>115</v>
      </c>
      <c r="Q47" s="172" t="s">
        <v>115</v>
      </c>
      <c r="R47" s="172" t="s">
        <v>116</v>
      </c>
      <c r="S47" s="172" t="s">
        <v>106</v>
      </c>
    </row>
    <row r="48" spans="1:16" s="14" customFormat="1" ht="13.5" customHeight="1">
      <c r="A48" s="179" t="s">
        <v>145</v>
      </c>
      <c r="B48" s="179" t="s">
        <v>146</v>
      </c>
      <c r="C48" s="179" t="s">
        <v>147</v>
      </c>
      <c r="D48" s="180" t="s">
        <v>148</v>
      </c>
      <c r="E48" s="181" t="s">
        <v>1480</v>
      </c>
      <c r="F48" s="179" t="s">
        <v>143</v>
      </c>
      <c r="G48" s="182">
        <v>1</v>
      </c>
      <c r="H48" s="368"/>
      <c r="I48" s="183">
        <f>ROUND(G48*H48,2)</f>
        <v>0</v>
      </c>
      <c r="J48" s="184">
        <v>0.016</v>
      </c>
      <c r="K48" s="182">
        <f>G48*J48</f>
        <v>0.016</v>
      </c>
      <c r="L48" s="184">
        <v>0</v>
      </c>
      <c r="M48" s="182">
        <f>G48*L48</f>
        <v>0</v>
      </c>
      <c r="N48" s="185">
        <v>15</v>
      </c>
      <c r="O48" s="186">
        <v>8</v>
      </c>
      <c r="P48" s="187" t="s">
        <v>115</v>
      </c>
    </row>
    <row r="49" spans="1:16" s="14" customFormat="1" ht="13.5" customHeight="1">
      <c r="A49" s="179" t="s">
        <v>149</v>
      </c>
      <c r="B49" s="179" t="s">
        <v>146</v>
      </c>
      <c r="C49" s="179" t="s">
        <v>147</v>
      </c>
      <c r="D49" s="180" t="s">
        <v>150</v>
      </c>
      <c r="E49" s="181" t="s">
        <v>1481</v>
      </c>
      <c r="F49" s="179" t="s">
        <v>143</v>
      </c>
      <c r="G49" s="182">
        <v>3</v>
      </c>
      <c r="H49" s="368"/>
      <c r="I49" s="183">
        <f>ROUND(G49*H49,2)</f>
        <v>0</v>
      </c>
      <c r="J49" s="184">
        <v>0.045</v>
      </c>
      <c r="K49" s="182">
        <f>G49*J49</f>
        <v>0.135</v>
      </c>
      <c r="L49" s="184">
        <v>0</v>
      </c>
      <c r="M49" s="182">
        <f>G49*L49</f>
        <v>0</v>
      </c>
      <c r="N49" s="185">
        <v>15</v>
      </c>
      <c r="O49" s="186">
        <v>8</v>
      </c>
      <c r="P49" s="187" t="s">
        <v>115</v>
      </c>
    </row>
    <row r="50" spans="1:16" s="14" customFormat="1" ht="24" customHeight="1" collapsed="1">
      <c r="A50" s="164" t="s">
        <v>151</v>
      </c>
      <c r="B50" s="164" t="s">
        <v>110</v>
      </c>
      <c r="C50" s="164" t="s">
        <v>119</v>
      </c>
      <c r="D50" s="165" t="s">
        <v>152</v>
      </c>
      <c r="E50" s="166" t="s">
        <v>1482</v>
      </c>
      <c r="F50" s="164" t="s">
        <v>143</v>
      </c>
      <c r="G50" s="167">
        <v>8</v>
      </c>
      <c r="H50" s="367"/>
      <c r="I50" s="168">
        <f>ROUND(G50*H50,2)</f>
        <v>0</v>
      </c>
      <c r="J50" s="169">
        <v>0.02684</v>
      </c>
      <c r="K50" s="167">
        <f>G50*J50</f>
        <v>0.21472</v>
      </c>
      <c r="L50" s="169">
        <v>0</v>
      </c>
      <c r="M50" s="167">
        <f>G50*L50</f>
        <v>0</v>
      </c>
      <c r="N50" s="170">
        <v>15</v>
      </c>
      <c r="O50" s="171">
        <v>4</v>
      </c>
      <c r="P50" s="14" t="s">
        <v>115</v>
      </c>
    </row>
    <row r="51" spans="4:19" s="14" customFormat="1" ht="15.75" customHeight="1" hidden="1" outlineLevel="1">
      <c r="D51" s="172"/>
      <c r="E51" s="173" t="s">
        <v>1316</v>
      </c>
      <c r="G51" s="174">
        <v>4</v>
      </c>
      <c r="P51" s="172" t="s">
        <v>115</v>
      </c>
      <c r="Q51" s="172" t="s">
        <v>115</v>
      </c>
      <c r="R51" s="172" t="s">
        <v>116</v>
      </c>
      <c r="S51" s="172" t="s">
        <v>106</v>
      </c>
    </row>
    <row r="52" spans="4:19" s="14" customFormat="1" ht="15.75" customHeight="1" hidden="1" outlineLevel="1">
      <c r="D52" s="172"/>
      <c r="E52" s="173" t="s">
        <v>1317</v>
      </c>
      <c r="G52" s="174">
        <v>4</v>
      </c>
      <c r="P52" s="172" t="s">
        <v>115</v>
      </c>
      <c r="Q52" s="172" t="s">
        <v>115</v>
      </c>
      <c r="R52" s="172" t="s">
        <v>116</v>
      </c>
      <c r="S52" s="172" t="s">
        <v>106</v>
      </c>
    </row>
    <row r="53" spans="1:16" s="14" customFormat="1" ht="13.5" customHeight="1" collapsed="1">
      <c r="A53" s="164" t="s">
        <v>153</v>
      </c>
      <c r="B53" s="164" t="s">
        <v>110</v>
      </c>
      <c r="C53" s="164" t="s">
        <v>119</v>
      </c>
      <c r="D53" s="165" t="s">
        <v>154</v>
      </c>
      <c r="E53" s="166" t="s">
        <v>155</v>
      </c>
      <c r="F53" s="164" t="s">
        <v>156</v>
      </c>
      <c r="G53" s="167">
        <f>SUM(G54:G57)</f>
        <v>0.50012</v>
      </c>
      <c r="H53" s="367"/>
      <c r="I53" s="168">
        <f>ROUND(G53*H53,2)</f>
        <v>0</v>
      </c>
      <c r="J53" s="169">
        <v>0.01954</v>
      </c>
      <c r="K53" s="167">
        <f>G53*J53</f>
        <v>0.009772344799999999</v>
      </c>
      <c r="L53" s="169">
        <v>0</v>
      </c>
      <c r="M53" s="167">
        <f>G53*L53</f>
        <v>0</v>
      </c>
      <c r="N53" s="170">
        <v>15</v>
      </c>
      <c r="O53" s="171">
        <v>4</v>
      </c>
      <c r="P53" s="14" t="s">
        <v>115</v>
      </c>
    </row>
    <row r="54" spans="4:19" s="14" customFormat="1" ht="15.75" customHeight="1" hidden="1" outlineLevel="1">
      <c r="D54" s="172"/>
      <c r="E54" s="173" t="s">
        <v>1320</v>
      </c>
      <c r="G54" s="174">
        <f>0.734/2</f>
        <v>0.367</v>
      </c>
      <c r="P54" s="172" t="s">
        <v>115</v>
      </c>
      <c r="Q54" s="172" t="s">
        <v>115</v>
      </c>
      <c r="R54" s="172" t="s">
        <v>116</v>
      </c>
      <c r="S54" s="172" t="s">
        <v>106</v>
      </c>
    </row>
    <row r="55" spans="4:19" s="14" customFormat="1" ht="15.75" customHeight="1" hidden="1" outlineLevel="1">
      <c r="D55" s="175"/>
      <c r="E55" s="176" t="s">
        <v>157</v>
      </c>
      <c r="G55" s="178"/>
      <c r="P55" s="175" t="s">
        <v>115</v>
      </c>
      <c r="Q55" s="175" t="s">
        <v>109</v>
      </c>
      <c r="R55" s="175" t="s">
        <v>116</v>
      </c>
      <c r="S55" s="175" t="s">
        <v>106</v>
      </c>
    </row>
    <row r="56" spans="4:19" s="14" customFormat="1" ht="15.75" customHeight="1" hidden="1" outlineLevel="1">
      <c r="D56" s="172"/>
      <c r="E56" s="173" t="s">
        <v>1319</v>
      </c>
      <c r="G56" s="174">
        <f>8*1.3*6.4/1000</f>
        <v>0.06656000000000001</v>
      </c>
      <c r="P56" s="172" t="s">
        <v>115</v>
      </c>
      <c r="Q56" s="172" t="s">
        <v>115</v>
      </c>
      <c r="R56" s="172" t="s">
        <v>116</v>
      </c>
      <c r="S56" s="172" t="s">
        <v>106</v>
      </c>
    </row>
    <row r="57" spans="4:19" s="14" customFormat="1" ht="15.75" customHeight="1" hidden="1" outlineLevel="1">
      <c r="D57" s="172"/>
      <c r="E57" s="173" t="s">
        <v>1318</v>
      </c>
      <c r="G57" s="174">
        <f>4*2*1.3*6.4/1000</f>
        <v>0.06656000000000001</v>
      </c>
      <c r="P57" s="172" t="s">
        <v>115</v>
      </c>
      <c r="Q57" s="172" t="s">
        <v>115</v>
      </c>
      <c r="R57" s="172" t="s">
        <v>116</v>
      </c>
      <c r="S57" s="172" t="s">
        <v>106</v>
      </c>
    </row>
    <row r="58" spans="1:16" s="14" customFormat="1" ht="13.5" customHeight="1" collapsed="1">
      <c r="A58" s="179" t="s">
        <v>158</v>
      </c>
      <c r="B58" s="179" t="s">
        <v>146</v>
      </c>
      <c r="C58" s="179" t="s">
        <v>147</v>
      </c>
      <c r="D58" s="180" t="s">
        <v>159</v>
      </c>
      <c r="E58" s="181" t="s">
        <v>160</v>
      </c>
      <c r="F58" s="179" t="s">
        <v>156</v>
      </c>
      <c r="G58" s="182">
        <f>SUM(G60:G61)*1.15</f>
        <v>0.153088</v>
      </c>
      <c r="H58" s="368"/>
      <c r="I58" s="183">
        <f>ROUND(G58*H58,2)</f>
        <v>0</v>
      </c>
      <c r="J58" s="184">
        <v>1</v>
      </c>
      <c r="K58" s="182">
        <f>G58*J58</f>
        <v>0.153088</v>
      </c>
      <c r="L58" s="184">
        <v>0</v>
      </c>
      <c r="M58" s="182">
        <f>G58*L58</f>
        <v>0</v>
      </c>
      <c r="N58" s="185">
        <v>15</v>
      </c>
      <c r="O58" s="186">
        <v>8</v>
      </c>
      <c r="P58" s="187" t="s">
        <v>115</v>
      </c>
    </row>
    <row r="59" spans="4:19" s="14" customFormat="1" ht="15.75" customHeight="1" hidden="1" outlineLevel="1">
      <c r="D59" s="175"/>
      <c r="E59" s="176" t="s">
        <v>157</v>
      </c>
      <c r="G59" s="177"/>
      <c r="P59" s="175" t="s">
        <v>115</v>
      </c>
      <c r="Q59" s="175" t="s">
        <v>109</v>
      </c>
      <c r="R59" s="175" t="s">
        <v>116</v>
      </c>
      <c r="S59" s="175" t="s">
        <v>106</v>
      </c>
    </row>
    <row r="60" spans="4:19" s="14" customFormat="1" ht="15.75" customHeight="1" hidden="1" outlineLevel="1">
      <c r="D60" s="172"/>
      <c r="E60" s="173" t="s">
        <v>1319</v>
      </c>
      <c r="G60" s="174">
        <f>8*1.3*6.4/1000</f>
        <v>0.06656000000000001</v>
      </c>
      <c r="P60" s="172" t="s">
        <v>115</v>
      </c>
      <c r="Q60" s="172" t="s">
        <v>115</v>
      </c>
      <c r="R60" s="172" t="s">
        <v>116</v>
      </c>
      <c r="S60" s="172" t="s">
        <v>106</v>
      </c>
    </row>
    <row r="61" spans="4:19" s="14" customFormat="1" ht="15.75" customHeight="1" hidden="1" outlineLevel="1">
      <c r="D61" s="172"/>
      <c r="E61" s="173" t="s">
        <v>1318</v>
      </c>
      <c r="G61" s="174">
        <f>4*2*1.3*6.4/1000</f>
        <v>0.06656000000000001</v>
      </c>
      <c r="P61" s="172" t="s">
        <v>115</v>
      </c>
      <c r="Q61" s="172" t="s">
        <v>115</v>
      </c>
      <c r="R61" s="172" t="s">
        <v>116</v>
      </c>
      <c r="S61" s="172" t="s">
        <v>106</v>
      </c>
    </row>
    <row r="62" spans="1:16" s="14" customFormat="1" ht="13.5" customHeight="1" collapsed="1">
      <c r="A62" s="179" t="s">
        <v>161</v>
      </c>
      <c r="B62" s="179" t="s">
        <v>146</v>
      </c>
      <c r="C62" s="179" t="s">
        <v>147</v>
      </c>
      <c r="D62" s="180" t="s">
        <v>162</v>
      </c>
      <c r="E62" s="181" t="s">
        <v>163</v>
      </c>
      <c r="F62" s="179" t="s">
        <v>156</v>
      </c>
      <c r="G62" s="182">
        <f>G63*1.15</f>
        <v>0.42227999999999993</v>
      </c>
      <c r="H62" s="368"/>
      <c r="I62" s="183">
        <f>ROUND(G62*H62,2)</f>
        <v>0</v>
      </c>
      <c r="J62" s="184">
        <v>1</v>
      </c>
      <c r="K62" s="182">
        <f>G62*J62</f>
        <v>0.42227999999999993</v>
      </c>
      <c r="L62" s="184">
        <v>0</v>
      </c>
      <c r="M62" s="182">
        <f>G62*L62</f>
        <v>0</v>
      </c>
      <c r="N62" s="185">
        <v>15</v>
      </c>
      <c r="O62" s="186">
        <v>8</v>
      </c>
      <c r="P62" s="187" t="s">
        <v>115</v>
      </c>
    </row>
    <row r="63" spans="4:19" s="14" customFormat="1" ht="15.75" customHeight="1" hidden="1" outlineLevel="1">
      <c r="D63" s="172"/>
      <c r="E63" s="173" t="s">
        <v>1320</v>
      </c>
      <c r="G63" s="174">
        <f>51*14.4/1000/2</f>
        <v>0.36719999999999997</v>
      </c>
      <c r="P63" s="172" t="s">
        <v>115</v>
      </c>
      <c r="Q63" s="172" t="s">
        <v>115</v>
      </c>
      <c r="R63" s="172" t="s">
        <v>116</v>
      </c>
      <c r="S63" s="172" t="s">
        <v>109</v>
      </c>
    </row>
    <row r="64" spans="1:16" s="14" customFormat="1" ht="24" customHeight="1">
      <c r="A64" s="179" t="s">
        <v>164</v>
      </c>
      <c r="B64" s="179" t="s">
        <v>146</v>
      </c>
      <c r="C64" s="179" t="s">
        <v>147</v>
      </c>
      <c r="D64" s="180" t="s">
        <v>165</v>
      </c>
      <c r="E64" s="181" t="s">
        <v>166</v>
      </c>
      <c r="F64" s="179" t="s">
        <v>167</v>
      </c>
      <c r="G64" s="182">
        <v>4</v>
      </c>
      <c r="H64" s="368"/>
      <c r="I64" s="183">
        <f>ROUND(G64*H64,2)</f>
        <v>0</v>
      </c>
      <c r="J64" s="184">
        <v>0</v>
      </c>
      <c r="K64" s="182">
        <f>G64*J64</f>
        <v>0</v>
      </c>
      <c r="L64" s="184">
        <v>0</v>
      </c>
      <c r="M64" s="182">
        <f>G64*L64</f>
        <v>0</v>
      </c>
      <c r="N64" s="185">
        <v>15</v>
      </c>
      <c r="O64" s="186">
        <v>8</v>
      </c>
      <c r="P64" s="187" t="s">
        <v>115</v>
      </c>
    </row>
    <row r="65" spans="1:16" s="14" customFormat="1" ht="24" customHeight="1" collapsed="1">
      <c r="A65" s="164" t="s">
        <v>168</v>
      </c>
      <c r="B65" s="164" t="s">
        <v>110</v>
      </c>
      <c r="C65" s="164" t="s">
        <v>119</v>
      </c>
      <c r="D65" s="165" t="s">
        <v>169</v>
      </c>
      <c r="E65" s="166" t="s">
        <v>170</v>
      </c>
      <c r="F65" s="164" t="s">
        <v>124</v>
      </c>
      <c r="G65" s="167">
        <f>G66</f>
        <v>28.882</v>
      </c>
      <c r="H65" s="367"/>
      <c r="I65" s="168">
        <f>ROUND(G65*H65,2)</f>
        <v>0</v>
      </c>
      <c r="J65" s="169">
        <v>0.06982</v>
      </c>
      <c r="K65" s="167">
        <f>G65*J65</f>
        <v>2.01654124</v>
      </c>
      <c r="L65" s="169">
        <v>0</v>
      </c>
      <c r="M65" s="167">
        <f>G65*L65</f>
        <v>0</v>
      </c>
      <c r="N65" s="170">
        <v>15</v>
      </c>
      <c r="O65" s="171">
        <v>4</v>
      </c>
      <c r="P65" s="14" t="s">
        <v>115</v>
      </c>
    </row>
    <row r="66" spans="4:19" s="14" customFormat="1" ht="34.5" customHeight="1" hidden="1" outlineLevel="1">
      <c r="D66" s="172"/>
      <c r="E66" s="173" t="s">
        <v>171</v>
      </c>
      <c r="G66" s="174">
        <v>28.882</v>
      </c>
      <c r="P66" s="172" t="s">
        <v>115</v>
      </c>
      <c r="Q66" s="172" t="s">
        <v>115</v>
      </c>
      <c r="R66" s="172" t="s">
        <v>116</v>
      </c>
      <c r="S66" s="172" t="s">
        <v>106</v>
      </c>
    </row>
    <row r="67" spans="1:16" s="14" customFormat="1" ht="24" customHeight="1" collapsed="1">
      <c r="A67" s="164" t="s">
        <v>172</v>
      </c>
      <c r="B67" s="164" t="s">
        <v>110</v>
      </c>
      <c r="C67" s="164" t="s">
        <v>119</v>
      </c>
      <c r="D67" s="165" t="s">
        <v>173</v>
      </c>
      <c r="E67" s="166" t="s">
        <v>174</v>
      </c>
      <c r="F67" s="164" t="s">
        <v>124</v>
      </c>
      <c r="G67" s="167">
        <f>SUM(G68)</f>
        <v>13.0575</v>
      </c>
      <c r="H67" s="367"/>
      <c r="I67" s="168">
        <f>ROUND(G67*H67,2)</f>
        <v>0</v>
      </c>
      <c r="J67" s="169">
        <v>0.10422</v>
      </c>
      <c r="K67" s="167">
        <f>G67*J67</f>
        <v>1.3608526499999998</v>
      </c>
      <c r="L67" s="169">
        <v>0</v>
      </c>
      <c r="M67" s="167">
        <f>G67*L67</f>
        <v>0</v>
      </c>
      <c r="N67" s="170">
        <v>15</v>
      </c>
      <c r="O67" s="171">
        <v>4</v>
      </c>
      <c r="P67" s="14" t="s">
        <v>115</v>
      </c>
    </row>
    <row r="68" spans="4:19" s="14" customFormat="1" ht="15.75" customHeight="1" hidden="1" outlineLevel="1">
      <c r="D68" s="172"/>
      <c r="E68" s="272" t="s">
        <v>1321</v>
      </c>
      <c r="G68" s="174">
        <f>(1.5+1.025)*(1.7+3)/2*2+0.7*1.7</f>
        <v>13.0575</v>
      </c>
      <c r="P68" s="172" t="s">
        <v>115</v>
      </c>
      <c r="Q68" s="172" t="s">
        <v>115</v>
      </c>
      <c r="R68" s="172" t="s">
        <v>116</v>
      </c>
      <c r="S68" s="172" t="s">
        <v>106</v>
      </c>
    </row>
    <row r="69" spans="1:16" s="14" customFormat="1" ht="24" customHeight="1" collapsed="1">
      <c r="A69" s="164" t="s">
        <v>175</v>
      </c>
      <c r="B69" s="164" t="s">
        <v>110</v>
      </c>
      <c r="C69" s="164" t="s">
        <v>119</v>
      </c>
      <c r="D69" s="165" t="s">
        <v>176</v>
      </c>
      <c r="E69" s="166" t="s">
        <v>1483</v>
      </c>
      <c r="F69" s="164" t="s">
        <v>124</v>
      </c>
      <c r="G69" s="167">
        <f>SUM(G70:G71)</f>
        <v>1.2</v>
      </c>
      <c r="H69" s="367"/>
      <c r="I69" s="168">
        <f>ROUND(G69*H69,2)</f>
        <v>0</v>
      </c>
      <c r="J69" s="169">
        <v>0.06405</v>
      </c>
      <c r="K69" s="167">
        <f>G69*J69</f>
        <v>0.07686</v>
      </c>
      <c r="L69" s="169">
        <v>0</v>
      </c>
      <c r="M69" s="167">
        <f>G69*L69</f>
        <v>0</v>
      </c>
      <c r="N69" s="170">
        <v>15</v>
      </c>
      <c r="O69" s="171">
        <v>4</v>
      </c>
      <c r="P69" s="14" t="s">
        <v>115</v>
      </c>
    </row>
    <row r="70" spans="4:19" s="14" customFormat="1" ht="15.75" customHeight="1" hidden="1" outlineLevel="1">
      <c r="D70" s="172"/>
      <c r="E70" s="173" t="s">
        <v>177</v>
      </c>
      <c r="G70" s="174">
        <v>0.18</v>
      </c>
      <c r="P70" s="172" t="s">
        <v>115</v>
      </c>
      <c r="Q70" s="172" t="s">
        <v>115</v>
      </c>
      <c r="R70" s="172" t="s">
        <v>116</v>
      </c>
      <c r="S70" s="172" t="s">
        <v>106</v>
      </c>
    </row>
    <row r="71" spans="4:19" s="14" customFormat="1" ht="15.75" customHeight="1" hidden="1" outlineLevel="1">
      <c r="D71" s="172"/>
      <c r="E71" s="173" t="s">
        <v>178</v>
      </c>
      <c r="G71" s="174">
        <v>1.02</v>
      </c>
      <c r="P71" s="172" t="s">
        <v>115</v>
      </c>
      <c r="Q71" s="172" t="s">
        <v>115</v>
      </c>
      <c r="R71" s="172" t="s">
        <v>116</v>
      </c>
      <c r="S71" s="172" t="s">
        <v>106</v>
      </c>
    </row>
    <row r="72" spans="1:16" s="14" customFormat="1" ht="24" customHeight="1" collapsed="1">
      <c r="A72" s="164" t="s">
        <v>179</v>
      </c>
      <c r="B72" s="164" t="s">
        <v>110</v>
      </c>
      <c r="C72" s="164" t="s">
        <v>119</v>
      </c>
      <c r="D72" s="165" t="s">
        <v>180</v>
      </c>
      <c r="E72" s="166" t="s">
        <v>1484</v>
      </c>
      <c r="F72" s="164" t="s">
        <v>124</v>
      </c>
      <c r="G72" s="167">
        <f>SUM(G73:G75)</f>
        <v>11.33625</v>
      </c>
      <c r="H72" s="367"/>
      <c r="I72" s="168">
        <f>ROUND(G72*H72,2)</f>
        <v>0</v>
      </c>
      <c r="J72" s="169">
        <v>0.0415</v>
      </c>
      <c r="K72" s="167">
        <f>G72*J72</f>
        <v>0.47045437500000004</v>
      </c>
      <c r="L72" s="169">
        <v>0</v>
      </c>
      <c r="M72" s="167">
        <f>G72*L72</f>
        <v>0</v>
      </c>
      <c r="N72" s="170">
        <v>15</v>
      </c>
      <c r="O72" s="171">
        <v>4</v>
      </c>
      <c r="P72" s="14" t="s">
        <v>115</v>
      </c>
    </row>
    <row r="73" spans="4:19" s="14" customFormat="1" ht="15.75" customHeight="1" hidden="1" outlineLevel="1">
      <c r="D73" s="175"/>
      <c r="E73" s="176" t="s">
        <v>181</v>
      </c>
      <c r="G73" s="177"/>
      <c r="P73" s="175" t="s">
        <v>115</v>
      </c>
      <c r="Q73" s="175" t="s">
        <v>109</v>
      </c>
      <c r="R73" s="175" t="s">
        <v>116</v>
      </c>
      <c r="S73" s="175" t="s">
        <v>106</v>
      </c>
    </row>
    <row r="74" spans="4:19" s="14" customFormat="1" ht="15.75" customHeight="1" hidden="1" outlineLevel="1">
      <c r="D74" s="172"/>
      <c r="E74" s="173" t="s">
        <v>1322</v>
      </c>
      <c r="G74" s="174">
        <f>11.28/2</f>
        <v>5.64</v>
      </c>
      <c r="P74" s="172" t="s">
        <v>115</v>
      </c>
      <c r="Q74" s="172" t="s">
        <v>115</v>
      </c>
      <c r="R74" s="172" t="s">
        <v>116</v>
      </c>
      <c r="S74" s="172" t="s">
        <v>106</v>
      </c>
    </row>
    <row r="75" spans="4:19" s="14" customFormat="1" ht="15.75" customHeight="1" hidden="1" outlineLevel="1">
      <c r="D75" s="172"/>
      <c r="E75" s="173" t="s">
        <v>1323</v>
      </c>
      <c r="G75" s="174">
        <f>(2.325)*2.45</f>
        <v>5.696250000000001</v>
      </c>
      <c r="P75" s="172" t="s">
        <v>115</v>
      </c>
      <c r="Q75" s="172" t="s">
        <v>115</v>
      </c>
      <c r="R75" s="172" t="s">
        <v>116</v>
      </c>
      <c r="S75" s="172" t="s">
        <v>106</v>
      </c>
    </row>
    <row r="76" spans="1:16" s="14" customFormat="1" ht="24" customHeight="1" collapsed="1">
      <c r="A76" s="164" t="s">
        <v>182</v>
      </c>
      <c r="B76" s="164" t="s">
        <v>110</v>
      </c>
      <c r="C76" s="164" t="s">
        <v>119</v>
      </c>
      <c r="D76" s="165" t="s">
        <v>183</v>
      </c>
      <c r="E76" s="166" t="s">
        <v>1485</v>
      </c>
      <c r="F76" s="164" t="s">
        <v>124</v>
      </c>
      <c r="G76" s="167">
        <f>SUM(G77:G79)</f>
        <v>39.8635</v>
      </c>
      <c r="H76" s="367"/>
      <c r="I76" s="168">
        <f>ROUND(G76*H76,2)</f>
        <v>0</v>
      </c>
      <c r="J76" s="169">
        <v>0.07262</v>
      </c>
      <c r="K76" s="167">
        <f>G76*J76</f>
        <v>2.89488737</v>
      </c>
      <c r="L76" s="169">
        <v>0</v>
      </c>
      <c r="M76" s="167">
        <f>G76*L76</f>
        <v>0</v>
      </c>
      <c r="N76" s="170">
        <v>15</v>
      </c>
      <c r="O76" s="171">
        <v>4</v>
      </c>
      <c r="P76" s="14" t="s">
        <v>115</v>
      </c>
    </row>
    <row r="77" spans="4:19" s="14" customFormat="1" ht="15.75" customHeight="1" hidden="1" outlineLevel="1">
      <c r="D77" s="175"/>
      <c r="E77" s="176" t="s">
        <v>181</v>
      </c>
      <c r="G77" s="177"/>
      <c r="P77" s="175" t="s">
        <v>115</v>
      </c>
      <c r="Q77" s="175" t="s">
        <v>109</v>
      </c>
      <c r="R77" s="175" t="s">
        <v>116</v>
      </c>
      <c r="S77" s="175" t="s">
        <v>106</v>
      </c>
    </row>
    <row r="78" spans="4:19" s="14" customFormat="1" ht="15.75" customHeight="1" hidden="1" outlineLevel="1">
      <c r="D78" s="172"/>
      <c r="E78" s="173" t="s">
        <v>1325</v>
      </c>
      <c r="G78" s="174">
        <f>(1.615*2+2.4)*(1.7+3)/2</f>
        <v>13.230500000000001</v>
      </c>
      <c r="P78" s="172" t="s">
        <v>115</v>
      </c>
      <c r="Q78" s="172" t="s">
        <v>115</v>
      </c>
      <c r="R78" s="172" t="s">
        <v>116</v>
      </c>
      <c r="S78" s="172" t="s">
        <v>106</v>
      </c>
    </row>
    <row r="79" spans="4:19" s="14" customFormat="1" ht="24" customHeight="1" hidden="1" outlineLevel="1">
      <c r="D79" s="172"/>
      <c r="E79" s="173" t="s">
        <v>1324</v>
      </c>
      <c r="G79" s="174">
        <v>26.633</v>
      </c>
      <c r="P79" s="172" t="s">
        <v>115</v>
      </c>
      <c r="Q79" s="172" t="s">
        <v>115</v>
      </c>
      <c r="R79" s="172" t="s">
        <v>116</v>
      </c>
      <c r="S79" s="172" t="s">
        <v>106</v>
      </c>
    </row>
    <row r="80" spans="1:16" s="14" customFormat="1" ht="24" customHeight="1" collapsed="1">
      <c r="A80" s="164" t="s">
        <v>184</v>
      </c>
      <c r="B80" s="164" t="s">
        <v>110</v>
      </c>
      <c r="C80" s="164" t="s">
        <v>119</v>
      </c>
      <c r="D80" s="165" t="s">
        <v>185</v>
      </c>
      <c r="E80" s="166" t="s">
        <v>1486</v>
      </c>
      <c r="F80" s="164" t="s">
        <v>124</v>
      </c>
      <c r="G80" s="167">
        <f>SUM(G81:G87)</f>
        <v>55.78215</v>
      </c>
      <c r="H80" s="367"/>
      <c r="I80" s="168">
        <f>ROUND(G80*H80,2)</f>
        <v>0</v>
      </c>
      <c r="J80" s="169">
        <v>0.10842</v>
      </c>
      <c r="K80" s="167">
        <f>G80*J80</f>
        <v>6.047900703000001</v>
      </c>
      <c r="L80" s="169">
        <v>0</v>
      </c>
      <c r="M80" s="167">
        <f>G80*L80</f>
        <v>0</v>
      </c>
      <c r="N80" s="170">
        <v>15</v>
      </c>
      <c r="O80" s="171">
        <v>4</v>
      </c>
      <c r="P80" s="14" t="s">
        <v>115</v>
      </c>
    </row>
    <row r="81" spans="4:19" s="14" customFormat="1" ht="15.75" customHeight="1" hidden="1" outlineLevel="1">
      <c r="D81" s="175"/>
      <c r="E81" s="176" t="s">
        <v>186</v>
      </c>
      <c r="G81" s="177"/>
      <c r="P81" s="175" t="s">
        <v>115</v>
      </c>
      <c r="Q81" s="175" t="s">
        <v>109</v>
      </c>
      <c r="R81" s="175" t="s">
        <v>116</v>
      </c>
      <c r="S81" s="175" t="s">
        <v>106</v>
      </c>
    </row>
    <row r="82" spans="4:19" s="14" customFormat="1" ht="15.75" customHeight="1" hidden="1" outlineLevel="1">
      <c r="D82" s="172"/>
      <c r="E82" s="173" t="s">
        <v>1326</v>
      </c>
      <c r="G82" s="174">
        <f>(4.05)*2.85</f>
        <v>11.5425</v>
      </c>
      <c r="P82" s="172" t="s">
        <v>115</v>
      </c>
      <c r="Q82" s="172" t="s">
        <v>115</v>
      </c>
      <c r="R82" s="172" t="s">
        <v>116</v>
      </c>
      <c r="S82" s="172" t="s">
        <v>106</v>
      </c>
    </row>
    <row r="83" spans="4:19" s="14" customFormat="1" ht="15.75" customHeight="1" hidden="1" outlineLevel="1">
      <c r="D83" s="172"/>
      <c r="E83" s="173" t="s">
        <v>1327</v>
      </c>
      <c r="G83" s="174">
        <f>(0.9+0.55)*2.85</f>
        <v>4.1325</v>
      </c>
      <c r="P83" s="172" t="s">
        <v>115</v>
      </c>
      <c r="Q83" s="172" t="s">
        <v>115</v>
      </c>
      <c r="R83" s="172" t="s">
        <v>116</v>
      </c>
      <c r="S83" s="172" t="s">
        <v>106</v>
      </c>
    </row>
    <row r="84" spans="4:19" s="14" customFormat="1" ht="15.75" customHeight="1" hidden="1" outlineLevel="1">
      <c r="D84" s="172"/>
      <c r="E84" s="173" t="s">
        <v>1328</v>
      </c>
      <c r="G84" s="174">
        <f>(1.8+5.6)*2.85</f>
        <v>21.09</v>
      </c>
      <c r="P84" s="172" t="s">
        <v>115</v>
      </c>
      <c r="Q84" s="172" t="s">
        <v>115</v>
      </c>
      <c r="R84" s="172" t="s">
        <v>116</v>
      </c>
      <c r="S84" s="172" t="s">
        <v>106</v>
      </c>
    </row>
    <row r="85" spans="4:19" s="14" customFormat="1" ht="15.75" customHeight="1" hidden="1" outlineLevel="1">
      <c r="D85" s="175"/>
      <c r="E85" s="176" t="s">
        <v>187</v>
      </c>
      <c r="G85" s="178"/>
      <c r="P85" s="175" t="s">
        <v>115</v>
      </c>
      <c r="Q85" s="175" t="s">
        <v>109</v>
      </c>
      <c r="R85" s="175" t="s">
        <v>116</v>
      </c>
      <c r="S85" s="175" t="s">
        <v>106</v>
      </c>
    </row>
    <row r="86" spans="4:19" s="14" customFormat="1" ht="15.75" customHeight="1" hidden="1" outlineLevel="1">
      <c r="D86" s="172"/>
      <c r="E86" s="173" t="s">
        <v>1329</v>
      </c>
      <c r="G86" s="174">
        <f>3.85*(0.7+2.1)/2</f>
        <v>5.39</v>
      </c>
      <c r="P86" s="172" t="s">
        <v>115</v>
      </c>
      <c r="Q86" s="172" t="s">
        <v>115</v>
      </c>
      <c r="R86" s="172" t="s">
        <v>116</v>
      </c>
      <c r="S86" s="172" t="s">
        <v>106</v>
      </c>
    </row>
    <row r="87" spans="4:19" s="14" customFormat="1" ht="15.75" customHeight="1" hidden="1" outlineLevel="1">
      <c r="D87" s="172"/>
      <c r="E87" s="173" t="s">
        <v>1330</v>
      </c>
      <c r="G87" s="174">
        <f>(2.1*(3.31+2.5)/2+0.8*3.31+1.855*(3.31+1.95)/2)</f>
        <v>13.62715</v>
      </c>
      <c r="P87" s="172" t="s">
        <v>115</v>
      </c>
      <c r="Q87" s="172" t="s">
        <v>115</v>
      </c>
      <c r="R87" s="172" t="s">
        <v>116</v>
      </c>
      <c r="S87" s="172" t="s">
        <v>106</v>
      </c>
    </row>
    <row r="88" spans="1:16" s="14" customFormat="1" ht="24" customHeight="1" collapsed="1">
      <c r="A88" s="164" t="s">
        <v>188</v>
      </c>
      <c r="B88" s="164" t="s">
        <v>110</v>
      </c>
      <c r="C88" s="164" t="s">
        <v>119</v>
      </c>
      <c r="D88" s="165" t="s">
        <v>189</v>
      </c>
      <c r="E88" s="166" t="s">
        <v>1487</v>
      </c>
      <c r="F88" s="164" t="s">
        <v>124</v>
      </c>
      <c r="G88" s="167">
        <f>G89</f>
        <v>1.26</v>
      </c>
      <c r="H88" s="367"/>
      <c r="I88" s="168">
        <f>ROUND(G88*H88,2)</f>
        <v>0</v>
      </c>
      <c r="J88" s="169">
        <v>0.15554</v>
      </c>
      <c r="K88" s="167">
        <f>G88*J88</f>
        <v>0.19598040000000003</v>
      </c>
      <c r="L88" s="169">
        <v>0</v>
      </c>
      <c r="M88" s="167">
        <f>G88*L88</f>
        <v>0</v>
      </c>
      <c r="N88" s="170">
        <v>15</v>
      </c>
      <c r="O88" s="171">
        <v>4</v>
      </c>
      <c r="P88" s="14" t="s">
        <v>115</v>
      </c>
    </row>
    <row r="89" spans="4:19" s="14" customFormat="1" ht="15.75" customHeight="1" hidden="1" outlineLevel="1">
      <c r="D89" s="172"/>
      <c r="E89" s="173" t="s">
        <v>1331</v>
      </c>
      <c r="G89" s="174">
        <f>1.05*1.2</f>
        <v>1.26</v>
      </c>
      <c r="P89" s="172" t="s">
        <v>115</v>
      </c>
      <c r="Q89" s="172" t="s">
        <v>115</v>
      </c>
      <c r="R89" s="172" t="s">
        <v>116</v>
      </c>
      <c r="S89" s="172" t="s">
        <v>106</v>
      </c>
    </row>
    <row r="90" spans="1:16" s="14" customFormat="1" ht="13.5" customHeight="1" collapsed="1">
      <c r="A90" s="164" t="s">
        <v>190</v>
      </c>
      <c r="B90" s="164" t="s">
        <v>110</v>
      </c>
      <c r="C90" s="164" t="s">
        <v>111</v>
      </c>
      <c r="D90" s="165" t="s">
        <v>191</v>
      </c>
      <c r="E90" s="166" t="s">
        <v>192</v>
      </c>
      <c r="F90" s="164" t="s">
        <v>124</v>
      </c>
      <c r="G90" s="167">
        <f>SUM(G91:G92)</f>
        <v>3.473</v>
      </c>
      <c r="H90" s="367"/>
      <c r="I90" s="168">
        <f>ROUND(G90*H90,2)</f>
        <v>0</v>
      </c>
      <c r="J90" s="169">
        <v>0.45432</v>
      </c>
      <c r="K90" s="167">
        <f>G90*J90</f>
        <v>1.57785336</v>
      </c>
      <c r="L90" s="169">
        <v>0</v>
      </c>
      <c r="M90" s="167">
        <f>G90*L90</f>
        <v>0</v>
      </c>
      <c r="N90" s="170">
        <v>15</v>
      </c>
      <c r="O90" s="171">
        <v>4</v>
      </c>
      <c r="P90" s="14" t="s">
        <v>115</v>
      </c>
    </row>
    <row r="91" spans="4:19" s="14" customFormat="1" ht="15.75" customHeight="1" hidden="1" outlineLevel="1">
      <c r="D91" s="172"/>
      <c r="E91" s="173" t="s">
        <v>193</v>
      </c>
      <c r="G91" s="174">
        <v>1.073</v>
      </c>
      <c r="P91" s="172" t="s">
        <v>115</v>
      </c>
      <c r="Q91" s="172" t="s">
        <v>115</v>
      </c>
      <c r="R91" s="172" t="s">
        <v>116</v>
      </c>
      <c r="S91" s="172" t="s">
        <v>106</v>
      </c>
    </row>
    <row r="92" spans="4:19" s="14" customFormat="1" ht="15.75" customHeight="1" hidden="1" outlineLevel="1">
      <c r="D92" s="172"/>
      <c r="E92" s="173" t="s">
        <v>194</v>
      </c>
      <c r="G92" s="174">
        <v>2.4</v>
      </c>
      <c r="P92" s="172" t="s">
        <v>115</v>
      </c>
      <c r="Q92" s="172" t="s">
        <v>115</v>
      </c>
      <c r="R92" s="172" t="s">
        <v>116</v>
      </c>
      <c r="S92" s="172" t="s">
        <v>106</v>
      </c>
    </row>
    <row r="93" spans="2:16" s="133" customFormat="1" ht="12.75" customHeight="1">
      <c r="B93" s="138" t="s">
        <v>63</v>
      </c>
      <c r="D93" s="139" t="s">
        <v>122</v>
      </c>
      <c r="E93" s="139" t="s">
        <v>195</v>
      </c>
      <c r="I93" s="140">
        <f>SUM(I94:I126)</f>
        <v>0</v>
      </c>
      <c r="K93" s="141">
        <f>SUM(K94:K126)</f>
        <v>22.093071527499998</v>
      </c>
      <c r="M93" s="141">
        <f>SUM(M94:M126)</f>
        <v>0</v>
      </c>
      <c r="P93" s="139" t="s">
        <v>109</v>
      </c>
    </row>
    <row r="94" spans="1:16" s="14" customFormat="1" ht="24" customHeight="1" collapsed="1">
      <c r="A94" s="164" t="s">
        <v>196</v>
      </c>
      <c r="B94" s="164" t="s">
        <v>110</v>
      </c>
      <c r="C94" s="164" t="s">
        <v>119</v>
      </c>
      <c r="D94" s="165" t="s">
        <v>197</v>
      </c>
      <c r="E94" s="166" t="s">
        <v>198</v>
      </c>
      <c r="F94" s="164" t="s">
        <v>124</v>
      </c>
      <c r="G94" s="167">
        <v>230</v>
      </c>
      <c r="H94" s="367"/>
      <c r="I94" s="168">
        <f>ROUND(G94*H94,2)</f>
        <v>0</v>
      </c>
      <c r="J94" s="169">
        <v>0.01083</v>
      </c>
      <c r="K94" s="167">
        <f>G94*J94</f>
        <v>2.4909</v>
      </c>
      <c r="L94" s="169">
        <v>0</v>
      </c>
      <c r="M94" s="167">
        <f>G94*L94</f>
        <v>0</v>
      </c>
      <c r="N94" s="170">
        <v>15</v>
      </c>
      <c r="O94" s="171">
        <v>4</v>
      </c>
      <c r="P94" s="14" t="s">
        <v>115</v>
      </c>
    </row>
    <row r="95" spans="4:19" s="14" customFormat="1" ht="15.75" customHeight="1" hidden="1" outlineLevel="1">
      <c r="D95" s="172" t="s">
        <v>199</v>
      </c>
      <c r="E95" s="173">
        <v>230</v>
      </c>
      <c r="G95" s="174">
        <v>230</v>
      </c>
      <c r="P95" s="172" t="s">
        <v>115</v>
      </c>
      <c r="Q95" s="172" t="s">
        <v>115</v>
      </c>
      <c r="R95" s="172" t="s">
        <v>116</v>
      </c>
      <c r="S95" s="172" t="s">
        <v>106</v>
      </c>
    </row>
    <row r="96" spans="1:16" s="14" customFormat="1" ht="13.5" customHeight="1" collapsed="1">
      <c r="A96" s="164" t="s">
        <v>200</v>
      </c>
      <c r="B96" s="164" t="s">
        <v>110</v>
      </c>
      <c r="C96" s="164" t="s">
        <v>111</v>
      </c>
      <c r="D96" s="165" t="s">
        <v>201</v>
      </c>
      <c r="E96" s="166" t="s">
        <v>202</v>
      </c>
      <c r="F96" s="164" t="s">
        <v>143</v>
      </c>
      <c r="G96" s="167">
        <f>SUM(G97:G98)</f>
        <v>62</v>
      </c>
      <c r="H96" s="367"/>
      <c r="I96" s="168">
        <f>ROUND(G96*H96,2)</f>
        <v>0</v>
      </c>
      <c r="J96" s="169">
        <v>0.08235</v>
      </c>
      <c r="K96" s="167">
        <f>G96*J96</f>
        <v>5.105700000000001</v>
      </c>
      <c r="L96" s="169">
        <v>0</v>
      </c>
      <c r="M96" s="167">
        <f>G96*L96</f>
        <v>0</v>
      </c>
      <c r="N96" s="170">
        <v>15</v>
      </c>
      <c r="O96" s="171">
        <v>4</v>
      </c>
      <c r="P96" s="14" t="s">
        <v>115</v>
      </c>
    </row>
    <row r="97" spans="4:19" s="14" customFormat="1" ht="15.75" customHeight="1" hidden="1" outlineLevel="1">
      <c r="D97" s="172"/>
      <c r="E97" s="173" t="s">
        <v>1332</v>
      </c>
      <c r="G97" s="174">
        <v>39</v>
      </c>
      <c r="P97" s="172" t="s">
        <v>115</v>
      </c>
      <c r="Q97" s="172" t="s">
        <v>115</v>
      </c>
      <c r="R97" s="172" t="s">
        <v>116</v>
      </c>
      <c r="S97" s="172" t="s">
        <v>106</v>
      </c>
    </row>
    <row r="98" spans="4:19" s="14" customFormat="1" ht="15.75" customHeight="1" hidden="1" outlineLevel="1">
      <c r="D98" s="172"/>
      <c r="E98" s="173" t="s">
        <v>1333</v>
      </c>
      <c r="G98" s="174">
        <v>23</v>
      </c>
      <c r="P98" s="172" t="s">
        <v>115</v>
      </c>
      <c r="Q98" s="172" t="s">
        <v>115</v>
      </c>
      <c r="R98" s="172" t="s">
        <v>116</v>
      </c>
      <c r="S98" s="172" t="s">
        <v>106</v>
      </c>
    </row>
    <row r="99" spans="1:16" s="14" customFormat="1" ht="13.5" customHeight="1" collapsed="1">
      <c r="A99" s="164" t="s">
        <v>203</v>
      </c>
      <c r="B99" s="164" t="s">
        <v>110</v>
      </c>
      <c r="C99" s="164" t="s">
        <v>111</v>
      </c>
      <c r="D99" s="165" t="s">
        <v>204</v>
      </c>
      <c r="E99" s="166" t="s">
        <v>205</v>
      </c>
      <c r="F99" s="164" t="s">
        <v>143</v>
      </c>
      <c r="G99" s="167">
        <v>6</v>
      </c>
      <c r="H99" s="367"/>
      <c r="I99" s="168">
        <f>ROUND(G99*H99,2)</f>
        <v>0</v>
      </c>
      <c r="J99" s="169">
        <v>0.059</v>
      </c>
      <c r="K99" s="167">
        <f>G99*J99</f>
        <v>0.354</v>
      </c>
      <c r="L99" s="169">
        <v>0</v>
      </c>
      <c r="M99" s="167">
        <f>G99*L99</f>
        <v>0</v>
      </c>
      <c r="N99" s="170">
        <v>15</v>
      </c>
      <c r="O99" s="171">
        <v>4</v>
      </c>
      <c r="P99" s="14" t="s">
        <v>115</v>
      </c>
    </row>
    <row r="100" spans="4:19" s="14" customFormat="1" ht="15.75" customHeight="1" hidden="1" outlineLevel="1">
      <c r="D100" s="172"/>
      <c r="E100" s="173" t="s">
        <v>1334</v>
      </c>
      <c r="G100" s="174">
        <v>6</v>
      </c>
      <c r="P100" s="172" t="s">
        <v>115</v>
      </c>
      <c r="Q100" s="172" t="s">
        <v>115</v>
      </c>
      <c r="R100" s="172" t="s">
        <v>116</v>
      </c>
      <c r="S100" s="172" t="s">
        <v>106</v>
      </c>
    </row>
    <row r="101" spans="1:16" s="14" customFormat="1" ht="13.5" customHeight="1">
      <c r="A101" s="164" t="s">
        <v>206</v>
      </c>
      <c r="B101" s="164" t="s">
        <v>110</v>
      </c>
      <c r="C101" s="164" t="s">
        <v>119</v>
      </c>
      <c r="D101" s="165" t="s">
        <v>207</v>
      </c>
      <c r="E101" s="166" t="s">
        <v>208</v>
      </c>
      <c r="F101" s="164" t="s">
        <v>156</v>
      </c>
      <c r="G101" s="167">
        <v>1.886</v>
      </c>
      <c r="H101" s="367"/>
      <c r="I101" s="168">
        <f>ROUND(G101*H101,2)</f>
        <v>0</v>
      </c>
      <c r="J101" s="169">
        <v>0.01954</v>
      </c>
      <c r="K101" s="167">
        <f>G101*J101</f>
        <v>0.03685243999999999</v>
      </c>
      <c r="L101" s="169">
        <v>0</v>
      </c>
      <c r="M101" s="167">
        <f>G101*L101</f>
        <v>0</v>
      </c>
      <c r="N101" s="170">
        <v>15</v>
      </c>
      <c r="O101" s="171">
        <v>4</v>
      </c>
      <c r="P101" s="14" t="s">
        <v>115</v>
      </c>
    </row>
    <row r="102" spans="1:16" s="14" customFormat="1" ht="13.5" customHeight="1" collapsed="1">
      <c r="A102" s="179" t="s">
        <v>209</v>
      </c>
      <c r="B102" s="179" t="s">
        <v>146</v>
      </c>
      <c r="C102" s="179" t="s">
        <v>147</v>
      </c>
      <c r="D102" s="180" t="s">
        <v>210</v>
      </c>
      <c r="E102" s="181" t="s">
        <v>211</v>
      </c>
      <c r="F102" s="179" t="s">
        <v>156</v>
      </c>
      <c r="G102" s="182">
        <f>G103*1.15</f>
        <v>2.1689</v>
      </c>
      <c r="H102" s="368"/>
      <c r="I102" s="183">
        <f>ROUND(G102*H102,2)</f>
        <v>0</v>
      </c>
      <c r="J102" s="184">
        <v>1</v>
      </c>
      <c r="K102" s="182">
        <f>G102*J102</f>
        <v>2.1689</v>
      </c>
      <c r="L102" s="184">
        <v>0</v>
      </c>
      <c r="M102" s="182">
        <f>G102*L102</f>
        <v>0</v>
      </c>
      <c r="N102" s="185">
        <v>15</v>
      </c>
      <c r="O102" s="186">
        <v>8</v>
      </c>
      <c r="P102" s="187" t="s">
        <v>115</v>
      </c>
    </row>
    <row r="103" spans="4:19" s="14" customFormat="1" ht="15.75" customHeight="1" hidden="1" outlineLevel="1">
      <c r="D103" s="172"/>
      <c r="E103" s="173" t="s">
        <v>1335</v>
      </c>
      <c r="G103" s="174">
        <f>3.772/2</f>
        <v>1.886</v>
      </c>
      <c r="P103" s="172" t="s">
        <v>115</v>
      </c>
      <c r="Q103" s="172" t="s">
        <v>115</v>
      </c>
      <c r="R103" s="172" t="s">
        <v>116</v>
      </c>
      <c r="S103" s="172" t="s">
        <v>106</v>
      </c>
    </row>
    <row r="104" spans="1:16" s="14" customFormat="1" ht="13.5" customHeight="1" collapsed="1">
      <c r="A104" s="164" t="s">
        <v>212</v>
      </c>
      <c r="B104" s="164" t="s">
        <v>110</v>
      </c>
      <c r="C104" s="164" t="s">
        <v>119</v>
      </c>
      <c r="D104" s="165" t="s">
        <v>1497</v>
      </c>
      <c r="E104" s="166" t="s">
        <v>1496</v>
      </c>
      <c r="F104" s="164" t="s">
        <v>156</v>
      </c>
      <c r="G104" s="167">
        <f>SUM(G105:G108)</f>
        <v>6.8475</v>
      </c>
      <c r="H104" s="367"/>
      <c r="I104" s="168">
        <f>ROUND(G104*H104,2)</f>
        <v>0</v>
      </c>
      <c r="J104" s="169">
        <v>0.01709</v>
      </c>
      <c r="K104" s="167">
        <f>G104*J104</f>
        <v>0.11702377500000001</v>
      </c>
      <c r="L104" s="169">
        <v>0</v>
      </c>
      <c r="M104" s="167">
        <f>G104*L104</f>
        <v>0</v>
      </c>
      <c r="N104" s="170">
        <v>15</v>
      </c>
      <c r="O104" s="171">
        <v>4</v>
      </c>
      <c r="P104" s="14" t="s">
        <v>115</v>
      </c>
    </row>
    <row r="105" spans="4:19" s="14" customFormat="1" ht="15.75" customHeight="1" hidden="1" outlineLevel="1">
      <c r="D105" s="172"/>
      <c r="E105" s="173" t="s">
        <v>1336</v>
      </c>
      <c r="G105" s="174">
        <f>9.773/2</f>
        <v>4.8865</v>
      </c>
      <c r="P105" s="172" t="s">
        <v>115</v>
      </c>
      <c r="Q105" s="172" t="s">
        <v>115</v>
      </c>
      <c r="R105" s="172" t="s">
        <v>116</v>
      </c>
      <c r="S105" s="172" t="s">
        <v>106</v>
      </c>
    </row>
    <row r="106" spans="4:19" s="14" customFormat="1" ht="15.75" customHeight="1" hidden="1" outlineLevel="1">
      <c r="D106" s="172"/>
      <c r="E106" s="173" t="s">
        <v>1337</v>
      </c>
      <c r="G106" s="174">
        <f>3.285/2</f>
        <v>1.6425</v>
      </c>
      <c r="P106" s="172" t="s">
        <v>115</v>
      </c>
      <c r="Q106" s="172" t="s">
        <v>115</v>
      </c>
      <c r="R106" s="172" t="s">
        <v>116</v>
      </c>
      <c r="S106" s="172" t="s">
        <v>106</v>
      </c>
    </row>
    <row r="107" spans="4:19" s="14" customFormat="1" ht="15.75" customHeight="1" hidden="1" outlineLevel="1">
      <c r="D107" s="172"/>
      <c r="E107" s="173" t="s">
        <v>1338</v>
      </c>
      <c r="G107" s="174">
        <f>0.269/2</f>
        <v>0.1345</v>
      </c>
      <c r="P107" s="172" t="s">
        <v>115</v>
      </c>
      <c r="Q107" s="172" t="s">
        <v>115</v>
      </c>
      <c r="R107" s="172" t="s">
        <v>116</v>
      </c>
      <c r="S107" s="172" t="s">
        <v>106</v>
      </c>
    </row>
    <row r="108" spans="4:19" s="14" customFormat="1" ht="15.75" customHeight="1" hidden="1" outlineLevel="1">
      <c r="D108" s="172"/>
      <c r="E108" s="173" t="s">
        <v>1339</v>
      </c>
      <c r="G108" s="174">
        <f>0.368/2</f>
        <v>0.184</v>
      </c>
      <c r="P108" s="172" t="s">
        <v>115</v>
      </c>
      <c r="Q108" s="172" t="s">
        <v>115</v>
      </c>
      <c r="R108" s="172" t="s">
        <v>116</v>
      </c>
      <c r="S108" s="172" t="s">
        <v>106</v>
      </c>
    </row>
    <row r="109" spans="1:16" s="14" customFormat="1" ht="13.5" customHeight="1" collapsed="1">
      <c r="A109" s="179" t="s">
        <v>213</v>
      </c>
      <c r="B109" s="179" t="s">
        <v>146</v>
      </c>
      <c r="C109" s="179" t="s">
        <v>147</v>
      </c>
      <c r="D109" s="180" t="s">
        <v>214</v>
      </c>
      <c r="E109" s="181" t="s">
        <v>215</v>
      </c>
      <c r="F109" s="179" t="s">
        <v>156</v>
      </c>
      <c r="G109" s="182">
        <f>G110*1.15</f>
        <v>1.8888749999999999</v>
      </c>
      <c r="H109" s="368"/>
      <c r="I109" s="183">
        <f>ROUND(G109*H109,2)</f>
        <v>0</v>
      </c>
      <c r="J109" s="184">
        <v>1</v>
      </c>
      <c r="K109" s="182">
        <f>G109*J109</f>
        <v>1.8888749999999999</v>
      </c>
      <c r="L109" s="184">
        <v>0</v>
      </c>
      <c r="M109" s="182">
        <f>G109*L109</f>
        <v>0</v>
      </c>
      <c r="N109" s="185">
        <v>15</v>
      </c>
      <c r="O109" s="186">
        <v>8</v>
      </c>
      <c r="P109" s="187" t="s">
        <v>115</v>
      </c>
    </row>
    <row r="110" spans="4:19" s="14" customFormat="1" ht="15.75" customHeight="1" hidden="1" outlineLevel="1">
      <c r="D110" s="172"/>
      <c r="E110" s="173" t="s">
        <v>1337</v>
      </c>
      <c r="G110" s="174">
        <f>3.285/2</f>
        <v>1.6425</v>
      </c>
      <c r="P110" s="172" t="s">
        <v>115</v>
      </c>
      <c r="Q110" s="172" t="s">
        <v>115</v>
      </c>
      <c r="R110" s="172" t="s">
        <v>116</v>
      </c>
      <c r="S110" s="172" t="s">
        <v>106</v>
      </c>
    </row>
    <row r="111" spans="1:16" s="284" customFormat="1" ht="13.5" customHeight="1" collapsed="1">
      <c r="A111" s="179" t="s">
        <v>213</v>
      </c>
      <c r="B111" s="179" t="s">
        <v>146</v>
      </c>
      <c r="C111" s="179" t="s">
        <v>147</v>
      </c>
      <c r="D111" s="180" t="s">
        <v>1473</v>
      </c>
      <c r="E111" s="181" t="s">
        <v>1474</v>
      </c>
      <c r="F111" s="179" t="s">
        <v>156</v>
      </c>
      <c r="G111" s="182">
        <f>G112*1.15</f>
        <v>0.21159999999999998</v>
      </c>
      <c r="H111" s="368"/>
      <c r="I111" s="183">
        <f>ROUND(G111*H111,2)</f>
        <v>0</v>
      </c>
      <c r="J111" s="184">
        <v>1</v>
      </c>
      <c r="K111" s="182">
        <f>G111*J111</f>
        <v>0.21159999999999998</v>
      </c>
      <c r="L111" s="184">
        <v>0</v>
      </c>
      <c r="M111" s="182">
        <f>G111*L111</f>
        <v>0</v>
      </c>
      <c r="N111" s="185">
        <v>15</v>
      </c>
      <c r="O111" s="186">
        <v>8</v>
      </c>
      <c r="P111" s="187" t="s">
        <v>115</v>
      </c>
    </row>
    <row r="112" spans="4:19" s="284" customFormat="1" ht="15.75" customHeight="1" hidden="1" outlineLevel="1">
      <c r="D112" s="172"/>
      <c r="E112" s="173" t="s">
        <v>1339</v>
      </c>
      <c r="G112" s="174">
        <f>0.368/2</f>
        <v>0.184</v>
      </c>
      <c r="P112" s="172" t="s">
        <v>115</v>
      </c>
      <c r="Q112" s="172" t="s">
        <v>115</v>
      </c>
      <c r="R112" s="172" t="s">
        <v>116</v>
      </c>
      <c r="S112" s="172" t="s">
        <v>106</v>
      </c>
    </row>
    <row r="113" spans="1:16" s="284" customFormat="1" ht="13.5" customHeight="1" collapsed="1">
      <c r="A113" s="179" t="s">
        <v>213</v>
      </c>
      <c r="B113" s="179" t="s">
        <v>146</v>
      </c>
      <c r="C113" s="179" t="s">
        <v>147</v>
      </c>
      <c r="D113" s="180" t="s">
        <v>1475</v>
      </c>
      <c r="E113" s="181" t="s">
        <v>1476</v>
      </c>
      <c r="F113" s="179" t="s">
        <v>156</v>
      </c>
      <c r="G113" s="182">
        <f>G114*1.15</f>
        <v>0.154675</v>
      </c>
      <c r="H113" s="368"/>
      <c r="I113" s="183">
        <f>ROUND(G113*H113,2)</f>
        <v>0</v>
      </c>
      <c r="J113" s="184">
        <v>1</v>
      </c>
      <c r="K113" s="182">
        <f>G113*J113</f>
        <v>0.154675</v>
      </c>
      <c r="L113" s="184">
        <v>0</v>
      </c>
      <c r="M113" s="182">
        <f>G113*L113</f>
        <v>0</v>
      </c>
      <c r="N113" s="185">
        <v>15</v>
      </c>
      <c r="O113" s="186">
        <v>8</v>
      </c>
      <c r="P113" s="187" t="s">
        <v>115</v>
      </c>
    </row>
    <row r="114" spans="4:19" s="284" customFormat="1" ht="15.75" customHeight="1" hidden="1" outlineLevel="1">
      <c r="D114" s="172"/>
      <c r="E114" s="173" t="s">
        <v>1338</v>
      </c>
      <c r="G114" s="174">
        <f>0.269/2</f>
        <v>0.1345</v>
      </c>
      <c r="P114" s="172" t="s">
        <v>115</v>
      </c>
      <c r="Q114" s="172" t="s">
        <v>115</v>
      </c>
      <c r="R114" s="172" t="s">
        <v>116</v>
      </c>
      <c r="S114" s="172" t="s">
        <v>106</v>
      </c>
    </row>
    <row r="115" spans="1:16" s="14" customFormat="1" ht="13.5" customHeight="1" collapsed="1">
      <c r="A115" s="179" t="s">
        <v>216</v>
      </c>
      <c r="B115" s="179" t="s">
        <v>146</v>
      </c>
      <c r="C115" s="179" t="s">
        <v>147</v>
      </c>
      <c r="D115" s="180" t="s">
        <v>217</v>
      </c>
      <c r="E115" s="181" t="s">
        <v>218</v>
      </c>
      <c r="F115" s="179" t="s">
        <v>156</v>
      </c>
      <c r="G115" s="182">
        <f>G116*1.15</f>
        <v>5.6194749999999996</v>
      </c>
      <c r="H115" s="368"/>
      <c r="I115" s="183">
        <f>ROUND(G115*H115,2)</f>
        <v>0</v>
      </c>
      <c r="J115" s="184">
        <v>1</v>
      </c>
      <c r="K115" s="182">
        <f>G115*J115</f>
        <v>5.6194749999999996</v>
      </c>
      <c r="L115" s="184">
        <v>0</v>
      </c>
      <c r="M115" s="182">
        <f>G115*L115</f>
        <v>0</v>
      </c>
      <c r="N115" s="185">
        <v>15</v>
      </c>
      <c r="O115" s="186">
        <v>8</v>
      </c>
      <c r="P115" s="187" t="s">
        <v>115</v>
      </c>
    </row>
    <row r="116" spans="4:19" s="14" customFormat="1" ht="15.75" customHeight="1" hidden="1" outlineLevel="1">
      <c r="D116" s="172"/>
      <c r="E116" s="173" t="s">
        <v>1336</v>
      </c>
      <c r="G116" s="174">
        <f>9.773/2</f>
        <v>4.8865</v>
      </c>
      <c r="P116" s="172" t="s">
        <v>115</v>
      </c>
      <c r="Q116" s="172" t="s">
        <v>115</v>
      </c>
      <c r="R116" s="172" t="s">
        <v>116</v>
      </c>
      <c r="S116" s="172" t="s">
        <v>106</v>
      </c>
    </row>
    <row r="117" spans="1:16" s="14" customFormat="1" ht="13.5" customHeight="1" collapsed="1">
      <c r="A117" s="164" t="s">
        <v>219</v>
      </c>
      <c r="B117" s="164" t="s">
        <v>110</v>
      </c>
      <c r="C117" s="164" t="s">
        <v>119</v>
      </c>
      <c r="D117" s="165" t="s">
        <v>220</v>
      </c>
      <c r="E117" s="166" t="s">
        <v>221</v>
      </c>
      <c r="F117" s="164" t="s">
        <v>114</v>
      </c>
      <c r="G117" s="167">
        <f>SUM(G118:G121)</f>
        <v>1.5424624999999998</v>
      </c>
      <c r="H117" s="367"/>
      <c r="I117" s="168">
        <f>ROUND(G117*H117,2)</f>
        <v>0</v>
      </c>
      <c r="J117" s="169">
        <v>2.4534</v>
      </c>
      <c r="K117" s="167">
        <f>G117*J117</f>
        <v>3.7842774974999993</v>
      </c>
      <c r="L117" s="169">
        <v>0</v>
      </c>
      <c r="M117" s="167">
        <f>G117*L117</f>
        <v>0</v>
      </c>
      <c r="N117" s="170">
        <v>15</v>
      </c>
      <c r="O117" s="171">
        <v>4</v>
      </c>
      <c r="P117" s="14" t="s">
        <v>115</v>
      </c>
    </row>
    <row r="118" spans="4:19" s="14" customFormat="1" ht="15.75" customHeight="1" hidden="1" outlineLevel="1">
      <c r="D118" s="172"/>
      <c r="E118" s="173" t="s">
        <v>1340</v>
      </c>
      <c r="G118" s="174">
        <f>2.658/2</f>
        <v>1.329</v>
      </c>
      <c r="P118" s="172" t="s">
        <v>115</v>
      </c>
      <c r="Q118" s="172" t="s">
        <v>115</v>
      </c>
      <c r="R118" s="172" t="s">
        <v>116</v>
      </c>
      <c r="S118" s="172" t="s">
        <v>106</v>
      </c>
    </row>
    <row r="119" spans="4:19" s="14" customFormat="1" ht="15.75" customHeight="1" hidden="1" outlineLevel="1">
      <c r="D119" s="175"/>
      <c r="E119" s="176" t="s">
        <v>222</v>
      </c>
      <c r="G119" s="178"/>
      <c r="P119" s="175" t="s">
        <v>115</v>
      </c>
      <c r="Q119" s="175" t="s">
        <v>109</v>
      </c>
      <c r="R119" s="175" t="s">
        <v>116</v>
      </c>
      <c r="S119" s="175" t="s">
        <v>106</v>
      </c>
    </row>
    <row r="120" spans="4:19" s="14" customFormat="1" ht="15.75" customHeight="1" hidden="1" outlineLevel="1">
      <c r="D120" s="172"/>
      <c r="E120" s="173" t="s">
        <v>1341</v>
      </c>
      <c r="G120" s="174">
        <f>0.19/2</f>
        <v>0.095</v>
      </c>
      <c r="P120" s="172" t="s">
        <v>115</v>
      </c>
      <c r="Q120" s="172" t="s">
        <v>115</v>
      </c>
      <c r="R120" s="172" t="s">
        <v>116</v>
      </c>
      <c r="S120" s="172" t="s">
        <v>106</v>
      </c>
    </row>
    <row r="121" spans="4:19" s="14" customFormat="1" ht="15.75" customHeight="1" hidden="1" outlineLevel="1">
      <c r="D121" s="172"/>
      <c r="E121" s="173" t="s">
        <v>1342</v>
      </c>
      <c r="G121" s="174">
        <f>(5)*1.3*0.135*0.135</f>
        <v>0.11846250000000001</v>
      </c>
      <c r="P121" s="172" t="s">
        <v>115</v>
      </c>
      <c r="Q121" s="172" t="s">
        <v>115</v>
      </c>
      <c r="R121" s="172" t="s">
        <v>116</v>
      </c>
      <c r="S121" s="172" t="s">
        <v>106</v>
      </c>
    </row>
    <row r="122" spans="1:16" s="14" customFormat="1" ht="13.5" customHeight="1" collapsed="1">
      <c r="A122" s="164" t="s">
        <v>223</v>
      </c>
      <c r="B122" s="164" t="s">
        <v>110</v>
      </c>
      <c r="C122" s="164" t="s">
        <v>119</v>
      </c>
      <c r="D122" s="165" t="s">
        <v>224</v>
      </c>
      <c r="E122" s="166" t="s">
        <v>225</v>
      </c>
      <c r="F122" s="164" t="s">
        <v>124</v>
      </c>
      <c r="G122" s="167">
        <f>G123</f>
        <v>9.3825</v>
      </c>
      <c r="H122" s="367"/>
      <c r="I122" s="168">
        <f>ROUND(G122*H122,2)</f>
        <v>0</v>
      </c>
      <c r="J122" s="169">
        <v>0.00519</v>
      </c>
      <c r="K122" s="167">
        <f>G122*J122</f>
        <v>0.048695175</v>
      </c>
      <c r="L122" s="169">
        <v>0</v>
      </c>
      <c r="M122" s="167">
        <f>G122*L122</f>
        <v>0</v>
      </c>
      <c r="N122" s="170">
        <v>15</v>
      </c>
      <c r="O122" s="171">
        <v>4</v>
      </c>
      <c r="P122" s="14" t="s">
        <v>115</v>
      </c>
    </row>
    <row r="123" spans="4:19" s="14" customFormat="1" ht="15.75" customHeight="1" hidden="1" outlineLevel="1">
      <c r="D123" s="172"/>
      <c r="E123" s="173" t="s">
        <v>1343</v>
      </c>
      <c r="G123" s="174">
        <f>18.765/2</f>
        <v>9.3825</v>
      </c>
      <c r="P123" s="172" t="s">
        <v>115</v>
      </c>
      <c r="Q123" s="172" t="s">
        <v>115</v>
      </c>
      <c r="R123" s="172" t="s">
        <v>116</v>
      </c>
      <c r="S123" s="172" t="s">
        <v>106</v>
      </c>
    </row>
    <row r="124" spans="1:16" s="14" customFormat="1" ht="13.5" customHeight="1">
      <c r="A124" s="164" t="s">
        <v>226</v>
      </c>
      <c r="B124" s="164" t="s">
        <v>110</v>
      </c>
      <c r="C124" s="164" t="s">
        <v>119</v>
      </c>
      <c r="D124" s="165" t="s">
        <v>227</v>
      </c>
      <c r="E124" s="166" t="s">
        <v>228</v>
      </c>
      <c r="F124" s="164" t="s">
        <v>124</v>
      </c>
      <c r="G124" s="167">
        <f>G122</f>
        <v>9.3825</v>
      </c>
      <c r="H124" s="367"/>
      <c r="I124" s="168">
        <f>ROUND(G124*H124,2)</f>
        <v>0</v>
      </c>
      <c r="J124" s="169">
        <v>0</v>
      </c>
      <c r="K124" s="167">
        <f>G124*J124</f>
        <v>0</v>
      </c>
      <c r="L124" s="169">
        <v>0</v>
      </c>
      <c r="M124" s="167">
        <f>G124*L124</f>
        <v>0</v>
      </c>
      <c r="N124" s="170">
        <v>15</v>
      </c>
      <c r="O124" s="171">
        <v>4</v>
      </c>
      <c r="P124" s="14" t="s">
        <v>115</v>
      </c>
    </row>
    <row r="125" spans="1:16" s="14" customFormat="1" ht="13.5" customHeight="1" collapsed="1">
      <c r="A125" s="164" t="s">
        <v>229</v>
      </c>
      <c r="B125" s="164" t="s">
        <v>110</v>
      </c>
      <c r="C125" s="164" t="s">
        <v>119</v>
      </c>
      <c r="D125" s="165" t="s">
        <v>230</v>
      </c>
      <c r="E125" s="166" t="s">
        <v>231</v>
      </c>
      <c r="F125" s="164" t="s">
        <v>156</v>
      </c>
      <c r="G125" s="167">
        <f>G126</f>
        <v>0.1065</v>
      </c>
      <c r="H125" s="367"/>
      <c r="I125" s="168">
        <f>ROUND(G125*H125,2)</f>
        <v>0</v>
      </c>
      <c r="J125" s="169">
        <v>1.05256</v>
      </c>
      <c r="K125" s="167">
        <f>G125*J125</f>
        <v>0.11209763999999998</v>
      </c>
      <c r="L125" s="169">
        <v>0</v>
      </c>
      <c r="M125" s="167">
        <f>G125*L125</f>
        <v>0</v>
      </c>
      <c r="N125" s="170">
        <v>15</v>
      </c>
      <c r="O125" s="171">
        <v>4</v>
      </c>
      <c r="P125" s="14" t="s">
        <v>115</v>
      </c>
    </row>
    <row r="126" spans="4:19" s="14" customFormat="1" ht="15.75" customHeight="1" hidden="1" outlineLevel="1">
      <c r="D126" s="172"/>
      <c r="E126" s="173" t="s">
        <v>1344</v>
      </c>
      <c r="G126" s="174">
        <f>0.213/2</f>
        <v>0.1065</v>
      </c>
      <c r="P126" s="172" t="s">
        <v>115</v>
      </c>
      <c r="Q126" s="172" t="s">
        <v>115</v>
      </c>
      <c r="R126" s="172" t="s">
        <v>116</v>
      </c>
      <c r="S126" s="172" t="s">
        <v>106</v>
      </c>
    </row>
    <row r="127" spans="2:16" s="133" customFormat="1" ht="12.75" customHeight="1">
      <c r="B127" s="138" t="s">
        <v>63</v>
      </c>
      <c r="D127" s="139" t="s">
        <v>128</v>
      </c>
      <c r="E127" s="139" t="s">
        <v>232</v>
      </c>
      <c r="I127" s="140">
        <f>SUM(I128:I213)</f>
        <v>0</v>
      </c>
      <c r="K127" s="141">
        <f>SUM(K128:K213)</f>
        <v>61.8529915928</v>
      </c>
      <c r="M127" s="141">
        <f>SUM(M128:M213)</f>
        <v>0</v>
      </c>
      <c r="P127" s="139" t="s">
        <v>109</v>
      </c>
    </row>
    <row r="128" spans="1:16" s="14" customFormat="1" ht="13.5" customHeight="1" collapsed="1">
      <c r="A128" s="164" t="s">
        <v>233</v>
      </c>
      <c r="B128" s="164" t="s">
        <v>110</v>
      </c>
      <c r="C128" s="164" t="s">
        <v>119</v>
      </c>
      <c r="D128" s="165" t="s">
        <v>234</v>
      </c>
      <c r="E128" s="166" t="s">
        <v>235</v>
      </c>
      <c r="F128" s="164" t="s">
        <v>124</v>
      </c>
      <c r="G128" s="167">
        <f>SUM(G129:G144)</f>
        <v>113.08650000000002</v>
      </c>
      <c r="H128" s="367"/>
      <c r="I128" s="168">
        <f>ROUND(G128*H128,2)</f>
        <v>0</v>
      </c>
      <c r="J128" s="169">
        <v>0.00489</v>
      </c>
      <c r="K128" s="167">
        <f>G128*J128</f>
        <v>0.552992985</v>
      </c>
      <c r="L128" s="169">
        <v>0</v>
      </c>
      <c r="M128" s="167">
        <f>G128*L128</f>
        <v>0</v>
      </c>
      <c r="N128" s="170">
        <v>15</v>
      </c>
      <c r="O128" s="171">
        <v>4</v>
      </c>
      <c r="P128" s="14" t="s">
        <v>115</v>
      </c>
    </row>
    <row r="129" spans="4:19" s="14" customFormat="1" ht="15.75" customHeight="1" hidden="1" outlineLevel="1">
      <c r="D129" s="172"/>
      <c r="E129" s="173" t="s">
        <v>1331</v>
      </c>
      <c r="G129" s="174">
        <f>(1.05)*1.2</f>
        <v>1.26</v>
      </c>
      <c r="P129" s="172" t="s">
        <v>115</v>
      </c>
      <c r="Q129" s="172" t="s">
        <v>115</v>
      </c>
      <c r="R129" s="172" t="s">
        <v>116</v>
      </c>
      <c r="S129" s="172" t="s">
        <v>106</v>
      </c>
    </row>
    <row r="130" spans="4:19" s="14" customFormat="1" ht="15.75" customHeight="1" hidden="1" outlineLevel="1">
      <c r="D130" s="175"/>
      <c r="E130" s="176" t="s">
        <v>186</v>
      </c>
      <c r="G130" s="178"/>
      <c r="P130" s="175" t="s">
        <v>115</v>
      </c>
      <c r="Q130" s="175" t="s">
        <v>109</v>
      </c>
      <c r="R130" s="175" t="s">
        <v>116</v>
      </c>
      <c r="S130" s="175" t="s">
        <v>106</v>
      </c>
    </row>
    <row r="131" spans="4:19" s="14" customFormat="1" ht="15.75" customHeight="1" hidden="1" outlineLevel="1">
      <c r="D131" s="172"/>
      <c r="E131" s="173" t="s">
        <v>1345</v>
      </c>
      <c r="G131" s="174">
        <f>(3.35)*2.85</f>
        <v>9.547500000000001</v>
      </c>
      <c r="P131" s="172" t="s">
        <v>115</v>
      </c>
      <c r="Q131" s="172" t="s">
        <v>115</v>
      </c>
      <c r="R131" s="172" t="s">
        <v>116</v>
      </c>
      <c r="S131" s="172" t="s">
        <v>106</v>
      </c>
    </row>
    <row r="132" spans="4:19" s="14" customFormat="1" ht="15.75" customHeight="1" hidden="1" outlineLevel="1">
      <c r="D132" s="172"/>
      <c r="E132" s="173" t="s">
        <v>1327</v>
      </c>
      <c r="G132" s="174">
        <f>(0.9+0.55)*2.85</f>
        <v>4.1325</v>
      </c>
      <c r="P132" s="172" t="s">
        <v>115</v>
      </c>
      <c r="Q132" s="172" t="s">
        <v>115</v>
      </c>
      <c r="R132" s="172" t="s">
        <v>116</v>
      </c>
      <c r="S132" s="172" t="s">
        <v>106</v>
      </c>
    </row>
    <row r="133" spans="4:19" s="14" customFormat="1" ht="15.75" customHeight="1" hidden="1" outlineLevel="1">
      <c r="D133" s="172"/>
      <c r="E133" s="173" t="s">
        <v>1328</v>
      </c>
      <c r="G133" s="174">
        <f>(1.8+5.6)*2.85</f>
        <v>21.09</v>
      </c>
      <c r="P133" s="172" t="s">
        <v>115</v>
      </c>
      <c r="Q133" s="172" t="s">
        <v>115</v>
      </c>
      <c r="R133" s="172" t="s">
        <v>116</v>
      </c>
      <c r="S133" s="172" t="s">
        <v>106</v>
      </c>
    </row>
    <row r="134" spans="4:19" s="14" customFormat="1" ht="15.75" customHeight="1" hidden="1" outlineLevel="1">
      <c r="D134" s="175"/>
      <c r="E134" s="176" t="s">
        <v>187</v>
      </c>
      <c r="G134" s="178"/>
      <c r="P134" s="175" t="s">
        <v>115</v>
      </c>
      <c r="Q134" s="175" t="s">
        <v>109</v>
      </c>
      <c r="R134" s="175" t="s">
        <v>116</v>
      </c>
      <c r="S134" s="175" t="s">
        <v>106</v>
      </c>
    </row>
    <row r="135" spans="4:19" s="14" customFormat="1" ht="15.75" customHeight="1" hidden="1" outlineLevel="1">
      <c r="D135" s="172"/>
      <c r="E135" s="173" t="s">
        <v>1329</v>
      </c>
      <c r="G135" s="174">
        <f>10.78/2</f>
        <v>5.39</v>
      </c>
      <c r="P135" s="172" t="s">
        <v>115</v>
      </c>
      <c r="Q135" s="172" t="s">
        <v>115</v>
      </c>
      <c r="R135" s="172" t="s">
        <v>116</v>
      </c>
      <c r="S135" s="172" t="s">
        <v>106</v>
      </c>
    </row>
    <row r="136" spans="4:19" s="14" customFormat="1" ht="15.75" customHeight="1" hidden="1" outlineLevel="1">
      <c r="D136" s="172"/>
      <c r="E136" s="173" t="s">
        <v>1330</v>
      </c>
      <c r="G136" s="174">
        <f>27.254/2</f>
        <v>13.627</v>
      </c>
      <c r="P136" s="172" t="s">
        <v>115</v>
      </c>
      <c r="Q136" s="172" t="s">
        <v>115</v>
      </c>
      <c r="R136" s="172" t="s">
        <v>116</v>
      </c>
      <c r="S136" s="172" t="s">
        <v>106</v>
      </c>
    </row>
    <row r="137" spans="4:19" s="14" customFormat="1" ht="15.75" customHeight="1" hidden="1" outlineLevel="1">
      <c r="D137" s="175"/>
      <c r="E137" s="176" t="s">
        <v>181</v>
      </c>
      <c r="G137" s="178"/>
      <c r="P137" s="175" t="s">
        <v>115</v>
      </c>
      <c r="Q137" s="175" t="s">
        <v>109</v>
      </c>
      <c r="R137" s="175" t="s">
        <v>116</v>
      </c>
      <c r="S137" s="175" t="s">
        <v>106</v>
      </c>
    </row>
    <row r="138" spans="4:19" s="14" customFormat="1" ht="15.75" customHeight="1" hidden="1" outlineLevel="1">
      <c r="D138" s="172"/>
      <c r="E138" s="173" t="s">
        <v>1325</v>
      </c>
      <c r="G138" s="174">
        <f>(1.615*2+2.4)*(1.7+3)/2</f>
        <v>13.230500000000001</v>
      </c>
      <c r="P138" s="172" t="s">
        <v>115</v>
      </c>
      <c r="Q138" s="172" t="s">
        <v>115</v>
      </c>
      <c r="R138" s="172" t="s">
        <v>116</v>
      </c>
      <c r="S138" s="172" t="s">
        <v>106</v>
      </c>
    </row>
    <row r="139" spans="4:19" s="14" customFormat="1" ht="24" customHeight="1" hidden="1" outlineLevel="1">
      <c r="D139" s="172"/>
      <c r="E139" s="173" t="s">
        <v>1324</v>
      </c>
      <c r="G139" s="174">
        <v>26.633</v>
      </c>
      <c r="P139" s="172" t="s">
        <v>115</v>
      </c>
      <c r="Q139" s="172" t="s">
        <v>115</v>
      </c>
      <c r="R139" s="172" t="s">
        <v>116</v>
      </c>
      <c r="S139" s="172" t="s">
        <v>106</v>
      </c>
    </row>
    <row r="140" spans="4:19" s="14" customFormat="1" ht="15.75" customHeight="1" hidden="1" outlineLevel="1">
      <c r="D140" s="175"/>
      <c r="E140" s="176" t="s">
        <v>181</v>
      </c>
      <c r="G140" s="178"/>
      <c r="P140" s="175" t="s">
        <v>115</v>
      </c>
      <c r="Q140" s="175" t="s">
        <v>109</v>
      </c>
      <c r="R140" s="175" t="s">
        <v>116</v>
      </c>
      <c r="S140" s="175" t="s">
        <v>106</v>
      </c>
    </row>
    <row r="141" spans="4:19" s="14" customFormat="1" ht="15.75" customHeight="1" hidden="1" outlineLevel="1">
      <c r="D141" s="172"/>
      <c r="E141" s="173" t="s">
        <v>1322</v>
      </c>
      <c r="G141" s="174">
        <f>2.4*(1.7+3)/2</f>
        <v>5.64</v>
      </c>
      <c r="P141" s="172" t="s">
        <v>115</v>
      </c>
      <c r="Q141" s="172" t="s">
        <v>115</v>
      </c>
      <c r="R141" s="172" t="s">
        <v>116</v>
      </c>
      <c r="S141" s="172" t="s">
        <v>106</v>
      </c>
    </row>
    <row r="142" spans="4:19" s="14" customFormat="1" ht="15.75" customHeight="1" hidden="1" outlineLevel="1">
      <c r="D142" s="172"/>
      <c r="E142" s="173" t="s">
        <v>1346</v>
      </c>
      <c r="G142" s="174">
        <f>(1.68*2.85-1.1*2.2)*2</f>
        <v>4.736</v>
      </c>
      <c r="P142" s="172" t="s">
        <v>115</v>
      </c>
      <c r="Q142" s="172" t="s">
        <v>115</v>
      </c>
      <c r="R142" s="172" t="s">
        <v>116</v>
      </c>
      <c r="S142" s="172" t="s">
        <v>106</v>
      </c>
    </row>
    <row r="143" spans="4:19" s="14" customFormat="1" ht="15.75" customHeight="1" hidden="1" outlineLevel="1">
      <c r="D143" s="172"/>
      <c r="E143" s="173" t="s">
        <v>1347</v>
      </c>
      <c r="G143" s="174">
        <f>4*1.3*(0.15+0.3*2)</f>
        <v>3.9000000000000004</v>
      </c>
      <c r="P143" s="172" t="s">
        <v>115</v>
      </c>
      <c r="Q143" s="172" t="s">
        <v>115</v>
      </c>
      <c r="R143" s="172" t="s">
        <v>116</v>
      </c>
      <c r="S143" s="172" t="s">
        <v>106</v>
      </c>
    </row>
    <row r="144" spans="4:19" s="14" customFormat="1" ht="15.75" customHeight="1" hidden="1" outlineLevel="1">
      <c r="D144" s="172"/>
      <c r="E144" s="173" t="s">
        <v>1348</v>
      </c>
      <c r="G144" s="174">
        <f>(4)*1.3*(0.15+0.3*2)</f>
        <v>3.9000000000000004</v>
      </c>
      <c r="P144" s="172" t="s">
        <v>115</v>
      </c>
      <c r="Q144" s="172" t="s">
        <v>115</v>
      </c>
      <c r="R144" s="172" t="s">
        <v>116</v>
      </c>
      <c r="S144" s="172" t="s">
        <v>106</v>
      </c>
    </row>
    <row r="145" spans="1:16" s="14" customFormat="1" ht="13.5" customHeight="1" collapsed="1">
      <c r="A145" s="164" t="s">
        <v>236</v>
      </c>
      <c r="B145" s="164" t="s">
        <v>110</v>
      </c>
      <c r="C145" s="164" t="s">
        <v>119</v>
      </c>
      <c r="D145" s="165" t="s">
        <v>237</v>
      </c>
      <c r="E145" s="166" t="s">
        <v>238</v>
      </c>
      <c r="F145" s="164" t="s">
        <v>124</v>
      </c>
      <c r="G145" s="167">
        <f>SUM(G146:G157)</f>
        <v>154.693</v>
      </c>
      <c r="H145" s="367"/>
      <c r="I145" s="168">
        <f>ROUND(G145*H145,2)</f>
        <v>0</v>
      </c>
      <c r="J145" s="169">
        <v>0.003</v>
      </c>
      <c r="K145" s="167">
        <f>G145*J145</f>
        <v>0.464079</v>
      </c>
      <c r="L145" s="169">
        <v>0</v>
      </c>
      <c r="M145" s="167">
        <f>G145*L145</f>
        <v>0</v>
      </c>
      <c r="N145" s="170">
        <v>15</v>
      </c>
      <c r="O145" s="171">
        <v>4</v>
      </c>
      <c r="P145" s="14" t="s">
        <v>115</v>
      </c>
    </row>
    <row r="146" spans="4:19" s="14" customFormat="1" ht="15.75" customHeight="1" hidden="1" outlineLevel="1">
      <c r="D146" s="172"/>
      <c r="E146" s="173" t="s">
        <v>239</v>
      </c>
      <c r="G146" s="174">
        <v>8.74</v>
      </c>
      <c r="P146" s="172" t="s">
        <v>115</v>
      </c>
      <c r="Q146" s="172" t="s">
        <v>115</v>
      </c>
      <c r="R146" s="172" t="s">
        <v>116</v>
      </c>
      <c r="S146" s="172" t="s">
        <v>106</v>
      </c>
    </row>
    <row r="147" spans="4:19" s="14" customFormat="1" ht="15.75" customHeight="1" hidden="1" outlineLevel="1">
      <c r="D147" s="172"/>
      <c r="E147" s="173" t="s">
        <v>240</v>
      </c>
      <c r="G147" s="174">
        <v>15.535</v>
      </c>
      <c r="P147" s="172" t="s">
        <v>115</v>
      </c>
      <c r="Q147" s="172" t="s">
        <v>115</v>
      </c>
      <c r="R147" s="172" t="s">
        <v>116</v>
      </c>
      <c r="S147" s="172" t="s">
        <v>106</v>
      </c>
    </row>
    <row r="148" spans="4:19" s="14" customFormat="1" ht="15.75" customHeight="1" hidden="1" outlineLevel="1">
      <c r="D148" s="172"/>
      <c r="E148" s="173" t="s">
        <v>241</v>
      </c>
      <c r="G148" s="174">
        <v>24.228</v>
      </c>
      <c r="P148" s="172" t="s">
        <v>115</v>
      </c>
      <c r="Q148" s="172" t="s">
        <v>115</v>
      </c>
      <c r="R148" s="172" t="s">
        <v>116</v>
      </c>
      <c r="S148" s="172" t="s">
        <v>106</v>
      </c>
    </row>
    <row r="149" spans="4:19" s="14" customFormat="1" ht="15.75" customHeight="1" hidden="1" outlineLevel="1">
      <c r="D149" s="172"/>
      <c r="E149" s="173" t="s">
        <v>242</v>
      </c>
      <c r="G149" s="174">
        <v>24.02</v>
      </c>
      <c r="P149" s="172" t="s">
        <v>115</v>
      </c>
      <c r="Q149" s="172" t="s">
        <v>115</v>
      </c>
      <c r="R149" s="172" t="s">
        <v>116</v>
      </c>
      <c r="S149" s="172" t="s">
        <v>106</v>
      </c>
    </row>
    <row r="150" spans="4:19" s="14" customFormat="1" ht="15.75" customHeight="1" hidden="1" outlineLevel="1">
      <c r="D150" s="172"/>
      <c r="E150" s="173" t="s">
        <v>243</v>
      </c>
      <c r="G150" s="174">
        <v>5.079</v>
      </c>
      <c r="P150" s="172" t="s">
        <v>115</v>
      </c>
      <c r="Q150" s="172" t="s">
        <v>115</v>
      </c>
      <c r="R150" s="172" t="s">
        <v>116</v>
      </c>
      <c r="S150" s="172" t="s">
        <v>106</v>
      </c>
    </row>
    <row r="151" spans="4:19" s="14" customFormat="1" ht="15.75" customHeight="1" hidden="1" outlineLevel="1">
      <c r="D151" s="172"/>
      <c r="E151" s="173" t="s">
        <v>244</v>
      </c>
      <c r="G151" s="174">
        <v>5.46</v>
      </c>
      <c r="P151" s="172" t="s">
        <v>115</v>
      </c>
      <c r="Q151" s="172" t="s">
        <v>115</v>
      </c>
      <c r="R151" s="172" t="s">
        <v>116</v>
      </c>
      <c r="S151" s="172" t="s">
        <v>106</v>
      </c>
    </row>
    <row r="152" spans="4:19" s="14" customFormat="1" ht="15.75" customHeight="1" hidden="1" outlineLevel="1">
      <c r="D152" s="172"/>
      <c r="E152" s="173" t="s">
        <v>245</v>
      </c>
      <c r="G152" s="174">
        <v>14.718</v>
      </c>
      <c r="P152" s="172" t="s">
        <v>115</v>
      </c>
      <c r="Q152" s="172" t="s">
        <v>115</v>
      </c>
      <c r="R152" s="172" t="s">
        <v>116</v>
      </c>
      <c r="S152" s="172" t="s">
        <v>106</v>
      </c>
    </row>
    <row r="153" spans="4:19" s="14" customFormat="1" ht="15.75" customHeight="1" hidden="1" outlineLevel="1">
      <c r="D153" s="172"/>
      <c r="E153" s="173" t="s">
        <v>246</v>
      </c>
      <c r="G153" s="174">
        <v>24.37</v>
      </c>
      <c r="P153" s="172" t="s">
        <v>115</v>
      </c>
      <c r="Q153" s="172" t="s">
        <v>115</v>
      </c>
      <c r="R153" s="172" t="s">
        <v>116</v>
      </c>
      <c r="S153" s="172" t="s">
        <v>106</v>
      </c>
    </row>
    <row r="154" spans="4:19" s="14" customFormat="1" ht="15.75" customHeight="1" hidden="1" outlineLevel="1">
      <c r="D154" s="172"/>
      <c r="E154" s="173" t="s">
        <v>247</v>
      </c>
      <c r="G154" s="174">
        <v>9.214</v>
      </c>
      <c r="P154" s="172" t="s">
        <v>115</v>
      </c>
      <c r="Q154" s="172" t="s">
        <v>115</v>
      </c>
      <c r="R154" s="172" t="s">
        <v>116</v>
      </c>
      <c r="S154" s="172" t="s">
        <v>106</v>
      </c>
    </row>
    <row r="155" spans="4:19" s="14" customFormat="1" ht="15.75" customHeight="1" hidden="1" outlineLevel="1">
      <c r="D155" s="172"/>
      <c r="E155" s="173" t="s">
        <v>248</v>
      </c>
      <c r="G155" s="174">
        <v>9.8</v>
      </c>
      <c r="P155" s="172" t="s">
        <v>115</v>
      </c>
      <c r="Q155" s="172" t="s">
        <v>115</v>
      </c>
      <c r="R155" s="172" t="s">
        <v>116</v>
      </c>
      <c r="S155" s="172" t="s">
        <v>106</v>
      </c>
    </row>
    <row r="156" spans="4:19" s="14" customFormat="1" ht="15.75" customHeight="1" hidden="1" outlineLevel="1">
      <c r="D156" s="172"/>
      <c r="E156" s="173" t="s">
        <v>249</v>
      </c>
      <c r="G156" s="174">
        <v>4.454</v>
      </c>
      <c r="P156" s="172" t="s">
        <v>115</v>
      </c>
      <c r="Q156" s="172" t="s">
        <v>115</v>
      </c>
      <c r="R156" s="172" t="s">
        <v>116</v>
      </c>
      <c r="S156" s="172" t="s">
        <v>106</v>
      </c>
    </row>
    <row r="157" spans="4:19" s="14" customFormat="1" ht="15.75" customHeight="1" hidden="1" outlineLevel="1">
      <c r="D157" s="172"/>
      <c r="E157" s="173" t="s">
        <v>250</v>
      </c>
      <c r="G157" s="174">
        <v>9.075</v>
      </c>
      <c r="P157" s="172" t="s">
        <v>115</v>
      </c>
      <c r="Q157" s="172" t="s">
        <v>115</v>
      </c>
      <c r="R157" s="172" t="s">
        <v>116</v>
      </c>
      <c r="S157" s="172" t="s">
        <v>106</v>
      </c>
    </row>
    <row r="158" spans="1:16" s="14" customFormat="1" ht="13.5" customHeight="1" collapsed="1">
      <c r="A158" s="164" t="s">
        <v>251</v>
      </c>
      <c r="B158" s="164" t="s">
        <v>110</v>
      </c>
      <c r="C158" s="164" t="s">
        <v>119</v>
      </c>
      <c r="D158" s="165" t="s">
        <v>252</v>
      </c>
      <c r="E158" s="166" t="s">
        <v>253</v>
      </c>
      <c r="F158" s="164" t="s">
        <v>124</v>
      </c>
      <c r="G158" s="167">
        <f>SUM(G159:G162)</f>
        <v>48.116</v>
      </c>
      <c r="H158" s="367"/>
      <c r="I158" s="168">
        <f>ROUND(G158*H158,2)</f>
        <v>0</v>
      </c>
      <c r="J158" s="169">
        <v>0.0154</v>
      </c>
      <c r="K158" s="167">
        <f>G158*J158</f>
        <v>0.7409864</v>
      </c>
      <c r="L158" s="169">
        <v>0</v>
      </c>
      <c r="M158" s="167">
        <f>G158*L158</f>
        <v>0</v>
      </c>
      <c r="N158" s="170">
        <v>15</v>
      </c>
      <c r="O158" s="171">
        <v>4</v>
      </c>
      <c r="P158" s="14" t="s">
        <v>115</v>
      </c>
    </row>
    <row r="159" spans="4:19" s="14" customFormat="1" ht="15.75" customHeight="1" hidden="1" outlineLevel="1">
      <c r="D159" s="172"/>
      <c r="E159" s="173" t="s">
        <v>254</v>
      </c>
      <c r="G159" s="174">
        <v>4.848</v>
      </c>
      <c r="P159" s="172" t="s">
        <v>115</v>
      </c>
      <c r="Q159" s="172" t="s">
        <v>115</v>
      </c>
      <c r="R159" s="172" t="s">
        <v>116</v>
      </c>
      <c r="S159" s="172" t="s">
        <v>106</v>
      </c>
    </row>
    <row r="160" spans="4:19" s="14" customFormat="1" ht="15.75" customHeight="1" hidden="1" outlineLevel="1">
      <c r="D160" s="172"/>
      <c r="E160" s="173" t="s">
        <v>255</v>
      </c>
      <c r="G160" s="174">
        <v>16.52</v>
      </c>
      <c r="P160" s="172" t="s">
        <v>115</v>
      </c>
      <c r="Q160" s="172" t="s">
        <v>115</v>
      </c>
      <c r="R160" s="172" t="s">
        <v>116</v>
      </c>
      <c r="S160" s="172" t="s">
        <v>106</v>
      </c>
    </row>
    <row r="161" spans="4:19" s="14" customFormat="1" ht="15.75" customHeight="1" hidden="1" outlineLevel="1">
      <c r="D161" s="172"/>
      <c r="E161" s="173" t="s">
        <v>256</v>
      </c>
      <c r="G161" s="174">
        <v>19.56</v>
      </c>
      <c r="P161" s="172" t="s">
        <v>115</v>
      </c>
      <c r="Q161" s="172" t="s">
        <v>115</v>
      </c>
      <c r="R161" s="172" t="s">
        <v>116</v>
      </c>
      <c r="S161" s="172" t="s">
        <v>106</v>
      </c>
    </row>
    <row r="162" spans="4:19" s="14" customFormat="1" ht="15.75" customHeight="1" hidden="1" outlineLevel="1">
      <c r="D162" s="172"/>
      <c r="E162" s="173" t="s">
        <v>257</v>
      </c>
      <c r="G162" s="174">
        <v>7.188</v>
      </c>
      <c r="P162" s="172" t="s">
        <v>115</v>
      </c>
      <c r="Q162" s="172" t="s">
        <v>115</v>
      </c>
      <c r="R162" s="172" t="s">
        <v>116</v>
      </c>
      <c r="S162" s="172" t="s">
        <v>106</v>
      </c>
    </row>
    <row r="163" spans="1:16" s="14" customFormat="1" ht="13.5" customHeight="1" collapsed="1">
      <c r="A163" s="164" t="s">
        <v>258</v>
      </c>
      <c r="B163" s="164" t="s">
        <v>110</v>
      </c>
      <c r="C163" s="164" t="s">
        <v>119</v>
      </c>
      <c r="D163" s="165" t="s">
        <v>259</v>
      </c>
      <c r="E163" s="166" t="s">
        <v>260</v>
      </c>
      <c r="F163" s="164" t="s">
        <v>124</v>
      </c>
      <c r="G163" s="167">
        <f>SUM(G164:G174)</f>
        <v>130.121</v>
      </c>
      <c r="H163" s="367"/>
      <c r="I163" s="168">
        <f>ROUND(G163*H163,2)</f>
        <v>0</v>
      </c>
      <c r="J163" s="169">
        <v>0.01838</v>
      </c>
      <c r="K163" s="167">
        <f>G163*J163</f>
        <v>2.3916239800000003</v>
      </c>
      <c r="L163" s="169">
        <v>0</v>
      </c>
      <c r="M163" s="167">
        <f>G163*L163</f>
        <v>0</v>
      </c>
      <c r="N163" s="170">
        <v>15</v>
      </c>
      <c r="O163" s="171">
        <v>4</v>
      </c>
      <c r="P163" s="14" t="s">
        <v>115</v>
      </c>
    </row>
    <row r="164" spans="4:19" s="14" customFormat="1" ht="15.75" customHeight="1" hidden="1" outlineLevel="1">
      <c r="D164" s="172"/>
      <c r="E164" s="173" t="s">
        <v>261</v>
      </c>
      <c r="G164" s="174">
        <v>10.695</v>
      </c>
      <c r="P164" s="172" t="s">
        <v>115</v>
      </c>
      <c r="Q164" s="172" t="s">
        <v>115</v>
      </c>
      <c r="R164" s="172" t="s">
        <v>116</v>
      </c>
      <c r="S164" s="172" t="s">
        <v>106</v>
      </c>
    </row>
    <row r="165" spans="4:19" s="14" customFormat="1" ht="15.75" customHeight="1" hidden="1" outlineLevel="1">
      <c r="D165" s="172"/>
      <c r="E165" s="173" t="s">
        <v>262</v>
      </c>
      <c r="G165" s="174">
        <v>34.765</v>
      </c>
      <c r="P165" s="172" t="s">
        <v>115</v>
      </c>
      <c r="Q165" s="172" t="s">
        <v>115</v>
      </c>
      <c r="R165" s="172" t="s">
        <v>116</v>
      </c>
      <c r="S165" s="172" t="s">
        <v>106</v>
      </c>
    </row>
    <row r="166" spans="4:19" s="14" customFormat="1" ht="15.75" customHeight="1" hidden="1" outlineLevel="1">
      <c r="D166" s="172"/>
      <c r="E166" s="173" t="s">
        <v>263</v>
      </c>
      <c r="G166" s="174">
        <v>18.42</v>
      </c>
      <c r="P166" s="172" t="s">
        <v>115</v>
      </c>
      <c r="Q166" s="172" t="s">
        <v>115</v>
      </c>
      <c r="R166" s="172" t="s">
        <v>116</v>
      </c>
      <c r="S166" s="172" t="s">
        <v>106</v>
      </c>
    </row>
    <row r="167" spans="4:19" s="14" customFormat="1" ht="15.75" customHeight="1" hidden="1" outlineLevel="1">
      <c r="D167" s="172"/>
      <c r="E167" s="173" t="s">
        <v>264</v>
      </c>
      <c r="G167" s="174">
        <v>8.014</v>
      </c>
      <c r="P167" s="172" t="s">
        <v>115</v>
      </c>
      <c r="Q167" s="172" t="s">
        <v>115</v>
      </c>
      <c r="R167" s="172" t="s">
        <v>116</v>
      </c>
      <c r="S167" s="172" t="s">
        <v>106</v>
      </c>
    </row>
    <row r="168" spans="4:19" s="14" customFormat="1" ht="15.75" customHeight="1" hidden="1" outlineLevel="1">
      <c r="D168" s="172"/>
      <c r="E168" s="173" t="s">
        <v>265</v>
      </c>
      <c r="G168" s="174">
        <v>1.814</v>
      </c>
      <c r="P168" s="172" t="s">
        <v>115</v>
      </c>
      <c r="Q168" s="172" t="s">
        <v>115</v>
      </c>
      <c r="R168" s="172" t="s">
        <v>116</v>
      </c>
      <c r="S168" s="172" t="s">
        <v>106</v>
      </c>
    </row>
    <row r="169" spans="4:19" s="14" customFormat="1" ht="15.75" customHeight="1" hidden="1" outlineLevel="1">
      <c r="D169" s="172"/>
      <c r="E169" s="173" t="s">
        <v>266</v>
      </c>
      <c r="G169" s="174">
        <v>1.26</v>
      </c>
      <c r="P169" s="172" t="s">
        <v>115</v>
      </c>
      <c r="Q169" s="172" t="s">
        <v>115</v>
      </c>
      <c r="R169" s="172" t="s">
        <v>116</v>
      </c>
      <c r="S169" s="172" t="s">
        <v>106</v>
      </c>
    </row>
    <row r="170" spans="4:19" s="14" customFormat="1" ht="15.75" customHeight="1" hidden="1" outlineLevel="1">
      <c r="D170" s="172"/>
      <c r="E170" s="173" t="s">
        <v>267</v>
      </c>
      <c r="G170" s="174">
        <v>22.228</v>
      </c>
      <c r="P170" s="172" t="s">
        <v>115</v>
      </c>
      <c r="Q170" s="172" t="s">
        <v>115</v>
      </c>
      <c r="R170" s="172" t="s">
        <v>116</v>
      </c>
      <c r="S170" s="172" t="s">
        <v>106</v>
      </c>
    </row>
    <row r="171" spans="4:19" s="14" customFormat="1" ht="15.75" customHeight="1" hidden="1" outlineLevel="1">
      <c r="D171" s="172"/>
      <c r="E171" s="173" t="s">
        <v>268</v>
      </c>
      <c r="G171" s="174">
        <v>14.309</v>
      </c>
      <c r="P171" s="172" t="s">
        <v>115</v>
      </c>
      <c r="Q171" s="172" t="s">
        <v>115</v>
      </c>
      <c r="R171" s="172" t="s">
        <v>116</v>
      </c>
      <c r="S171" s="172" t="s">
        <v>106</v>
      </c>
    </row>
    <row r="172" spans="4:19" s="14" customFormat="1" ht="15.75" customHeight="1" hidden="1" outlineLevel="1">
      <c r="D172" s="172"/>
      <c r="E172" s="173" t="s">
        <v>269</v>
      </c>
      <c r="G172" s="174">
        <v>5.83</v>
      </c>
      <c r="P172" s="172" t="s">
        <v>115</v>
      </c>
      <c r="Q172" s="172" t="s">
        <v>115</v>
      </c>
      <c r="R172" s="172" t="s">
        <v>116</v>
      </c>
      <c r="S172" s="172" t="s">
        <v>106</v>
      </c>
    </row>
    <row r="173" spans="4:19" s="14" customFormat="1" ht="15.75" customHeight="1" hidden="1" outlineLevel="1">
      <c r="D173" s="172"/>
      <c r="E173" s="173" t="s">
        <v>270</v>
      </c>
      <c r="G173" s="174">
        <v>5.433</v>
      </c>
      <c r="P173" s="172" t="s">
        <v>115</v>
      </c>
      <c r="Q173" s="172" t="s">
        <v>115</v>
      </c>
      <c r="R173" s="172" t="s">
        <v>116</v>
      </c>
      <c r="S173" s="172" t="s">
        <v>106</v>
      </c>
    </row>
    <row r="174" spans="4:19" s="14" customFormat="1" ht="15.75" customHeight="1" hidden="1" outlineLevel="1">
      <c r="D174" s="172"/>
      <c r="E174" s="173" t="s">
        <v>271</v>
      </c>
      <c r="G174" s="174">
        <v>7.353</v>
      </c>
      <c r="P174" s="172" t="s">
        <v>115</v>
      </c>
      <c r="Q174" s="172" t="s">
        <v>115</v>
      </c>
      <c r="R174" s="172" t="s">
        <v>116</v>
      </c>
      <c r="S174" s="172" t="s">
        <v>106</v>
      </c>
    </row>
    <row r="175" spans="1:16" s="14" customFormat="1" ht="13.5" customHeight="1" collapsed="1">
      <c r="A175" s="164" t="s">
        <v>272</v>
      </c>
      <c r="B175" s="164" t="s">
        <v>110</v>
      </c>
      <c r="C175" s="164" t="s">
        <v>119</v>
      </c>
      <c r="D175" s="165" t="s">
        <v>273</v>
      </c>
      <c r="E175" s="166" t="s">
        <v>274</v>
      </c>
      <c r="F175" s="164" t="s">
        <v>124</v>
      </c>
      <c r="G175" s="167">
        <f>G176</f>
        <v>3.6599999999999997</v>
      </c>
      <c r="H175" s="367"/>
      <c r="I175" s="168">
        <f>ROUND(G175*H175,2)</f>
        <v>0</v>
      </c>
      <c r="J175" s="169">
        <v>0.00825</v>
      </c>
      <c r="K175" s="167">
        <f>G175*J175</f>
        <v>0.030195</v>
      </c>
      <c r="L175" s="169">
        <v>0</v>
      </c>
      <c r="M175" s="167">
        <f>G175*L175</f>
        <v>0</v>
      </c>
      <c r="N175" s="170">
        <v>15</v>
      </c>
      <c r="O175" s="171">
        <v>4</v>
      </c>
      <c r="P175" s="14" t="s">
        <v>115</v>
      </c>
    </row>
    <row r="176" spans="4:19" s="14" customFormat="1" ht="15.75" customHeight="1" hidden="1" outlineLevel="1">
      <c r="D176" s="172"/>
      <c r="E176" s="173" t="s">
        <v>1349</v>
      </c>
      <c r="G176" s="174">
        <f>((2.05+1.5)*2+(1.3+1.5)*2*2)*0.2</f>
        <v>3.6599999999999997</v>
      </c>
      <c r="P176" s="172" t="s">
        <v>115</v>
      </c>
      <c r="Q176" s="172" t="s">
        <v>115</v>
      </c>
      <c r="R176" s="172" t="s">
        <v>116</v>
      </c>
      <c r="S176" s="172" t="s">
        <v>106</v>
      </c>
    </row>
    <row r="177" spans="1:16" s="14" customFormat="1" ht="13.5" customHeight="1">
      <c r="A177" s="179" t="s">
        <v>275</v>
      </c>
      <c r="B177" s="179" t="s">
        <v>146</v>
      </c>
      <c r="C177" s="179" t="s">
        <v>147</v>
      </c>
      <c r="D177" s="180" t="s">
        <v>276</v>
      </c>
      <c r="E177" s="181" t="s">
        <v>277</v>
      </c>
      <c r="F177" s="179" t="s">
        <v>124</v>
      </c>
      <c r="G177" s="182">
        <f>G175*1.05</f>
        <v>3.843</v>
      </c>
      <c r="H177" s="368"/>
      <c r="I177" s="183">
        <f>ROUND(G177*H177,2)</f>
        <v>0</v>
      </c>
      <c r="J177" s="184">
        <v>0.00051</v>
      </c>
      <c r="K177" s="182">
        <f>G177*J177</f>
        <v>0.00195993</v>
      </c>
      <c r="L177" s="184">
        <v>0</v>
      </c>
      <c r="M177" s="182">
        <f>G177*L177</f>
        <v>0</v>
      </c>
      <c r="N177" s="185">
        <v>15</v>
      </c>
      <c r="O177" s="186">
        <v>8</v>
      </c>
      <c r="P177" s="187" t="s">
        <v>115</v>
      </c>
    </row>
    <row r="178" spans="1:16" s="14" customFormat="1" ht="13.5" customHeight="1">
      <c r="A178" s="164" t="s">
        <v>278</v>
      </c>
      <c r="B178" s="164" t="s">
        <v>110</v>
      </c>
      <c r="C178" s="164" t="s">
        <v>119</v>
      </c>
      <c r="D178" s="165" t="s">
        <v>279</v>
      </c>
      <c r="E178" s="166" t="s">
        <v>280</v>
      </c>
      <c r="F178" s="164" t="s">
        <v>124</v>
      </c>
      <c r="G178" s="167">
        <f>G180</f>
        <v>11.225</v>
      </c>
      <c r="H178" s="367"/>
      <c r="I178" s="168">
        <f>ROUND(G178*H178,2)</f>
        <v>0</v>
      </c>
      <c r="J178" s="169">
        <v>0.00832</v>
      </c>
      <c r="K178" s="167">
        <f>G178*J178</f>
        <v>0.09339199999999999</v>
      </c>
      <c r="L178" s="169">
        <v>0</v>
      </c>
      <c r="M178" s="167">
        <f>G178*L178</f>
        <v>0</v>
      </c>
      <c r="N178" s="170">
        <v>15</v>
      </c>
      <c r="O178" s="171">
        <v>4</v>
      </c>
      <c r="P178" s="14" t="s">
        <v>115</v>
      </c>
    </row>
    <row r="179" spans="1:16" s="14" customFormat="1" ht="13.5" customHeight="1" collapsed="1">
      <c r="A179" s="179" t="s">
        <v>281</v>
      </c>
      <c r="B179" s="179" t="s">
        <v>146</v>
      </c>
      <c r="C179" s="179" t="s">
        <v>147</v>
      </c>
      <c r="D179" s="180" t="s">
        <v>282</v>
      </c>
      <c r="E179" s="181" t="s">
        <v>283</v>
      </c>
      <c r="F179" s="179" t="s">
        <v>124</v>
      </c>
      <c r="G179" s="182">
        <f>G180*1.05</f>
        <v>11.78625</v>
      </c>
      <c r="H179" s="368"/>
      <c r="I179" s="183">
        <f>ROUND(G179*H179,2)</f>
        <v>0</v>
      </c>
      <c r="J179" s="184">
        <v>0.0017</v>
      </c>
      <c r="K179" s="182">
        <f>G179*J179</f>
        <v>0.020036625</v>
      </c>
      <c r="L179" s="184">
        <v>0</v>
      </c>
      <c r="M179" s="182">
        <f>G179*L179</f>
        <v>0</v>
      </c>
      <c r="N179" s="185">
        <v>15</v>
      </c>
      <c r="O179" s="186">
        <v>8</v>
      </c>
      <c r="P179" s="187" t="s">
        <v>115</v>
      </c>
    </row>
    <row r="180" spans="4:19" s="14" customFormat="1" ht="15.75" customHeight="1" hidden="1" outlineLevel="1">
      <c r="D180" s="172"/>
      <c r="E180" s="173" t="s">
        <v>1350</v>
      </c>
      <c r="G180" s="174">
        <f>22.45/2</f>
        <v>11.225</v>
      </c>
      <c r="P180" s="172" t="s">
        <v>115</v>
      </c>
      <c r="Q180" s="172" t="s">
        <v>115</v>
      </c>
      <c r="R180" s="172" t="s">
        <v>116</v>
      </c>
      <c r="S180" s="172" t="s">
        <v>109</v>
      </c>
    </row>
    <row r="181" spans="1:16" s="14" customFormat="1" ht="13.5" customHeight="1" collapsed="1">
      <c r="A181" s="164" t="s">
        <v>284</v>
      </c>
      <c r="B181" s="164" t="s">
        <v>110</v>
      </c>
      <c r="C181" s="164" t="s">
        <v>119</v>
      </c>
      <c r="D181" s="165" t="s">
        <v>285</v>
      </c>
      <c r="E181" s="166" t="s">
        <v>286</v>
      </c>
      <c r="F181" s="164" t="s">
        <v>124</v>
      </c>
      <c r="G181" s="167">
        <f>SUM(G182:G187)</f>
        <v>27.114399999999996</v>
      </c>
      <c r="H181" s="367"/>
      <c r="I181" s="168">
        <f>ROUND(G181*H181,2)</f>
        <v>0</v>
      </c>
      <c r="J181" s="169">
        <v>0.0231</v>
      </c>
      <c r="K181" s="167">
        <f>G181*J181</f>
        <v>0.6263426399999998</v>
      </c>
      <c r="L181" s="169">
        <v>0</v>
      </c>
      <c r="M181" s="167">
        <f>G181*L181</f>
        <v>0</v>
      </c>
      <c r="N181" s="170">
        <v>15</v>
      </c>
      <c r="O181" s="171">
        <v>4</v>
      </c>
      <c r="P181" s="14" t="s">
        <v>115</v>
      </c>
    </row>
    <row r="182" spans="4:19" s="14" customFormat="1" ht="15.75" customHeight="1" hidden="1" outlineLevel="1">
      <c r="D182" s="175"/>
      <c r="E182" s="176" t="s">
        <v>287</v>
      </c>
      <c r="G182" s="177"/>
      <c r="P182" s="175" t="s">
        <v>115</v>
      </c>
      <c r="Q182" s="175" t="s">
        <v>109</v>
      </c>
      <c r="R182" s="175" t="s">
        <v>116</v>
      </c>
      <c r="S182" s="175" t="s">
        <v>106</v>
      </c>
    </row>
    <row r="183" spans="4:19" s="14" customFormat="1" ht="15.75" customHeight="1" hidden="1" outlineLevel="1">
      <c r="D183" s="175"/>
      <c r="E183" s="176" t="s">
        <v>133</v>
      </c>
      <c r="G183" s="177"/>
      <c r="P183" s="175" t="s">
        <v>115</v>
      </c>
      <c r="Q183" s="175" t="s">
        <v>109</v>
      </c>
      <c r="R183" s="175" t="s">
        <v>116</v>
      </c>
      <c r="S183" s="175" t="s">
        <v>106</v>
      </c>
    </row>
    <row r="184" spans="4:19" s="14" customFormat="1" ht="15.75" customHeight="1" hidden="1" outlineLevel="1">
      <c r="D184" s="172"/>
      <c r="E184" s="173" t="s">
        <v>1351</v>
      </c>
      <c r="G184" s="174">
        <f>((2.1)+(0.48*2))*2*(23.725-22.45)</f>
        <v>7.803000000000013</v>
      </c>
      <c r="P184" s="172" t="s">
        <v>115</v>
      </c>
      <c r="Q184" s="172" t="s">
        <v>115</v>
      </c>
      <c r="R184" s="172" t="s">
        <v>116</v>
      </c>
      <c r="S184" s="172" t="s">
        <v>106</v>
      </c>
    </row>
    <row r="185" spans="4:19" s="14" customFormat="1" ht="15.75" customHeight="1" hidden="1" outlineLevel="1">
      <c r="D185" s="175"/>
      <c r="E185" s="176" t="s">
        <v>134</v>
      </c>
      <c r="G185" s="178"/>
      <c r="P185" s="175" t="s">
        <v>115</v>
      </c>
      <c r="Q185" s="175" t="s">
        <v>109</v>
      </c>
      <c r="R185" s="175" t="s">
        <v>116</v>
      </c>
      <c r="S185" s="175" t="s">
        <v>106</v>
      </c>
    </row>
    <row r="186" spans="4:19" s="14" customFormat="1" ht="15.75" customHeight="1" hidden="1" outlineLevel="1">
      <c r="D186" s="172"/>
      <c r="E186" s="173" t="s">
        <v>288</v>
      </c>
      <c r="G186" s="174">
        <v>3.521</v>
      </c>
      <c r="P186" s="172" t="s">
        <v>115</v>
      </c>
      <c r="Q186" s="172" t="s">
        <v>115</v>
      </c>
      <c r="R186" s="172" t="s">
        <v>116</v>
      </c>
      <c r="S186" s="172" t="s">
        <v>106</v>
      </c>
    </row>
    <row r="187" spans="4:19" s="14" customFormat="1" ht="15.75" customHeight="1" hidden="1" outlineLevel="1">
      <c r="D187" s="172"/>
      <c r="E187" s="173" t="s">
        <v>1352</v>
      </c>
      <c r="G187" s="174">
        <f>((2.375+2.375)+0.465*2)*(24.63-21.85)</f>
        <v>15.790399999999986</v>
      </c>
      <c r="P187" s="172" t="s">
        <v>115</v>
      </c>
      <c r="Q187" s="172" t="s">
        <v>115</v>
      </c>
      <c r="R187" s="172" t="s">
        <v>116</v>
      </c>
      <c r="S187" s="172" t="s">
        <v>106</v>
      </c>
    </row>
    <row r="188" spans="1:16" s="14" customFormat="1" ht="13.5" customHeight="1" collapsed="1">
      <c r="A188" s="164" t="s">
        <v>289</v>
      </c>
      <c r="B188" s="164" t="s">
        <v>110</v>
      </c>
      <c r="C188" s="164" t="s">
        <v>119</v>
      </c>
      <c r="D188" s="165" t="s">
        <v>290</v>
      </c>
      <c r="E188" s="166" t="s">
        <v>291</v>
      </c>
      <c r="F188" s="164" t="s">
        <v>124</v>
      </c>
      <c r="G188" s="167">
        <f>SUM(G189:G190)</f>
        <v>26.725625</v>
      </c>
      <c r="H188" s="367"/>
      <c r="I188" s="168">
        <f>ROUND(G188*H188,2)</f>
        <v>0</v>
      </c>
      <c r="J188" s="169">
        <v>0.02636</v>
      </c>
      <c r="K188" s="167">
        <f>G188*J188</f>
        <v>0.7044874750000001</v>
      </c>
      <c r="L188" s="169">
        <v>0</v>
      </c>
      <c r="M188" s="167">
        <f>G188*L188</f>
        <v>0</v>
      </c>
      <c r="N188" s="170">
        <v>15</v>
      </c>
      <c r="O188" s="171">
        <v>4</v>
      </c>
      <c r="P188" s="14" t="s">
        <v>115</v>
      </c>
    </row>
    <row r="189" spans="4:19" s="14" customFormat="1" ht="15.75" customHeight="1" hidden="1" outlineLevel="1">
      <c r="D189" s="172"/>
      <c r="E189" s="173" t="s">
        <v>1353</v>
      </c>
      <c r="G189" s="174">
        <f>(22.45*2.125-2.05*1.5*2+1.3*1.5*4)/2</f>
        <v>24.678125</v>
      </c>
      <c r="P189" s="172" t="s">
        <v>115</v>
      </c>
      <c r="Q189" s="172" t="s">
        <v>115</v>
      </c>
      <c r="R189" s="172" t="s">
        <v>116</v>
      </c>
      <c r="S189" s="172" t="s">
        <v>106</v>
      </c>
    </row>
    <row r="190" spans="4:19" s="14" customFormat="1" ht="15.75" customHeight="1" hidden="1" outlineLevel="1">
      <c r="D190" s="172"/>
      <c r="E190" s="173" t="s">
        <v>1354</v>
      </c>
      <c r="G190" s="174">
        <f>((2.05+1.5*2)+(1.3+1.5*2)*2)*0.15</f>
        <v>2.0475</v>
      </c>
      <c r="P190" s="172" t="s">
        <v>115</v>
      </c>
      <c r="Q190" s="172" t="s">
        <v>115</v>
      </c>
      <c r="R190" s="172" t="s">
        <v>116</v>
      </c>
      <c r="S190" s="172" t="s">
        <v>106</v>
      </c>
    </row>
    <row r="191" spans="1:16" s="14" customFormat="1" ht="13.5" customHeight="1" collapsed="1">
      <c r="A191" s="164" t="s">
        <v>292</v>
      </c>
      <c r="B191" s="164" t="s">
        <v>110</v>
      </c>
      <c r="C191" s="164" t="s">
        <v>119</v>
      </c>
      <c r="D191" s="165" t="s">
        <v>293</v>
      </c>
      <c r="E191" s="166" t="s">
        <v>294</v>
      </c>
      <c r="F191" s="164" t="s">
        <v>124</v>
      </c>
      <c r="G191" s="167">
        <f>SUM(G192:G193)</f>
        <v>14.885</v>
      </c>
      <c r="H191" s="367"/>
      <c r="I191" s="168">
        <f>ROUND(G191*H191,2)</f>
        <v>0</v>
      </c>
      <c r="J191" s="169">
        <v>0.00268</v>
      </c>
      <c r="K191" s="167">
        <f>G191*J191</f>
        <v>0.0398918</v>
      </c>
      <c r="L191" s="169">
        <v>0</v>
      </c>
      <c r="M191" s="167">
        <f>G191*L191</f>
        <v>0</v>
      </c>
      <c r="N191" s="170">
        <v>15</v>
      </c>
      <c r="O191" s="171">
        <v>4</v>
      </c>
      <c r="P191" s="14" t="s">
        <v>115</v>
      </c>
    </row>
    <row r="192" spans="4:19" s="14" customFormat="1" ht="15.75" customHeight="1" hidden="1" outlineLevel="1">
      <c r="D192" s="172"/>
      <c r="E192" s="173" t="s">
        <v>1350</v>
      </c>
      <c r="G192" s="174">
        <f>22.45/2</f>
        <v>11.225</v>
      </c>
      <c r="P192" s="172" t="s">
        <v>115</v>
      </c>
      <c r="Q192" s="172" t="s">
        <v>115</v>
      </c>
      <c r="R192" s="172" t="s">
        <v>116</v>
      </c>
      <c r="S192" s="172" t="s">
        <v>106</v>
      </c>
    </row>
    <row r="193" spans="4:19" s="14" customFormat="1" ht="15.75" customHeight="1" hidden="1" outlineLevel="1">
      <c r="D193" s="172"/>
      <c r="E193" s="173" t="s">
        <v>1349</v>
      </c>
      <c r="G193" s="174">
        <f>((2.05+1.5)*2+(1.3+1.5)*2*2)*0.2</f>
        <v>3.6599999999999997</v>
      </c>
      <c r="P193" s="172" t="s">
        <v>115</v>
      </c>
      <c r="Q193" s="172" t="s">
        <v>115</v>
      </c>
      <c r="R193" s="172" t="s">
        <v>116</v>
      </c>
      <c r="S193" s="172" t="s">
        <v>106</v>
      </c>
    </row>
    <row r="194" spans="1:16" s="14" customFormat="1" ht="24" customHeight="1" collapsed="1">
      <c r="A194" s="164" t="s">
        <v>295</v>
      </c>
      <c r="B194" s="164" t="s">
        <v>110</v>
      </c>
      <c r="C194" s="164" t="s">
        <v>119</v>
      </c>
      <c r="D194" s="165" t="s">
        <v>296</v>
      </c>
      <c r="E194" s="166" t="s">
        <v>297</v>
      </c>
      <c r="F194" s="164" t="s">
        <v>124</v>
      </c>
      <c r="G194" s="167">
        <f>SUM(G195:G202)</f>
        <v>53.840025</v>
      </c>
      <c r="H194" s="367"/>
      <c r="I194" s="168">
        <f>ROUND(G194*H194,2)</f>
        <v>0</v>
      </c>
      <c r="J194" s="169">
        <v>0.0006</v>
      </c>
      <c r="K194" s="167">
        <f>G194*J194</f>
        <v>0.032304015</v>
      </c>
      <c r="L194" s="169">
        <v>0</v>
      </c>
      <c r="M194" s="167">
        <f>G194*L194</f>
        <v>0</v>
      </c>
      <c r="N194" s="170">
        <v>15</v>
      </c>
      <c r="O194" s="171">
        <v>4</v>
      </c>
      <c r="P194" s="14" t="s">
        <v>115</v>
      </c>
    </row>
    <row r="195" spans="4:19" s="14" customFormat="1" ht="15.75" customHeight="1" hidden="1" outlineLevel="1">
      <c r="D195" s="172"/>
      <c r="E195" s="173" t="s">
        <v>1353</v>
      </c>
      <c r="G195" s="174">
        <f>(22.45*2.125-2.05*1.5*2+1.3*1.5*4)/2</f>
        <v>24.678125</v>
      </c>
      <c r="P195" s="172" t="s">
        <v>115</v>
      </c>
      <c r="Q195" s="172" t="s">
        <v>115</v>
      </c>
      <c r="R195" s="172" t="s">
        <v>116</v>
      </c>
      <c r="S195" s="172" t="s">
        <v>106</v>
      </c>
    </row>
    <row r="196" spans="4:19" s="14" customFormat="1" ht="15.75" customHeight="1" hidden="1" outlineLevel="1">
      <c r="D196" s="172"/>
      <c r="E196" s="173" t="s">
        <v>1354</v>
      </c>
      <c r="G196" s="174">
        <f>((2.05+1.5*2)+(1.3+1.5*2)*2)*0.15</f>
        <v>2.0475</v>
      </c>
      <c r="P196" s="172" t="s">
        <v>115</v>
      </c>
      <c r="Q196" s="172" t="s">
        <v>115</v>
      </c>
      <c r="R196" s="172" t="s">
        <v>116</v>
      </c>
      <c r="S196" s="172" t="s">
        <v>106</v>
      </c>
    </row>
    <row r="197" spans="4:19" s="14" customFormat="1" ht="15.75" customHeight="1" hidden="1" outlineLevel="1">
      <c r="D197" s="175"/>
      <c r="E197" s="176" t="s">
        <v>287</v>
      </c>
      <c r="G197" s="178"/>
      <c r="P197" s="175" t="s">
        <v>115</v>
      </c>
      <c r="Q197" s="175" t="s">
        <v>109</v>
      </c>
      <c r="R197" s="175" t="s">
        <v>116</v>
      </c>
      <c r="S197" s="175" t="s">
        <v>106</v>
      </c>
    </row>
    <row r="198" spans="4:19" s="14" customFormat="1" ht="15.75" customHeight="1" hidden="1" outlineLevel="1">
      <c r="D198" s="175"/>
      <c r="E198" s="176" t="s">
        <v>133</v>
      </c>
      <c r="G198" s="177"/>
      <c r="P198" s="175" t="s">
        <v>115</v>
      </c>
      <c r="Q198" s="175" t="s">
        <v>109</v>
      </c>
      <c r="R198" s="175" t="s">
        <v>116</v>
      </c>
      <c r="S198" s="175" t="s">
        <v>106</v>
      </c>
    </row>
    <row r="199" spans="4:19" s="14" customFormat="1" ht="15.75" customHeight="1" hidden="1" outlineLevel="1">
      <c r="D199" s="172"/>
      <c r="E199" s="173" t="s">
        <v>1351</v>
      </c>
      <c r="G199" s="174">
        <f>((2.1)+(0.48*2))*2*(23.725-22.45)</f>
        <v>7.803000000000013</v>
      </c>
      <c r="P199" s="172" t="s">
        <v>115</v>
      </c>
      <c r="Q199" s="172" t="s">
        <v>115</v>
      </c>
      <c r="R199" s="172" t="s">
        <v>116</v>
      </c>
      <c r="S199" s="172" t="s">
        <v>106</v>
      </c>
    </row>
    <row r="200" spans="4:19" s="14" customFormat="1" ht="15.75" customHeight="1" hidden="1" outlineLevel="1">
      <c r="D200" s="172"/>
      <c r="E200" s="176" t="s">
        <v>134</v>
      </c>
      <c r="G200" s="178"/>
      <c r="P200" s="172" t="s">
        <v>115</v>
      </c>
      <c r="Q200" s="172" t="s">
        <v>115</v>
      </c>
      <c r="R200" s="172" t="s">
        <v>116</v>
      </c>
      <c r="S200" s="172" t="s">
        <v>106</v>
      </c>
    </row>
    <row r="201" spans="4:19" s="14" customFormat="1" ht="15.75" customHeight="1" hidden="1" outlineLevel="1">
      <c r="D201" s="172"/>
      <c r="E201" s="173" t="s">
        <v>288</v>
      </c>
      <c r="G201" s="174">
        <v>3.521</v>
      </c>
      <c r="P201" s="172" t="s">
        <v>115</v>
      </c>
      <c r="Q201" s="172" t="s">
        <v>115</v>
      </c>
      <c r="R201" s="172" t="s">
        <v>116</v>
      </c>
      <c r="S201" s="172" t="s">
        <v>106</v>
      </c>
    </row>
    <row r="202" spans="4:19" s="14" customFormat="1" ht="15.75" customHeight="1" hidden="1" outlineLevel="1">
      <c r="D202" s="175"/>
      <c r="E202" s="173" t="s">
        <v>1352</v>
      </c>
      <c r="G202" s="174">
        <f>((2.375+2.375)+0.465*2)*(24.63-21.85)</f>
        <v>15.790399999999986</v>
      </c>
      <c r="P202" s="175" t="s">
        <v>115</v>
      </c>
      <c r="Q202" s="175" t="s">
        <v>109</v>
      </c>
      <c r="R202" s="175" t="s">
        <v>116</v>
      </c>
      <c r="S202" s="175" t="s">
        <v>106</v>
      </c>
    </row>
    <row r="203" spans="1:16" s="14" customFormat="1" ht="13.5" customHeight="1" collapsed="1">
      <c r="A203" s="164" t="s">
        <v>298</v>
      </c>
      <c r="B203" s="164" t="s">
        <v>110</v>
      </c>
      <c r="C203" s="164" t="s">
        <v>119</v>
      </c>
      <c r="D203" s="165" t="s">
        <v>299</v>
      </c>
      <c r="E203" s="166" t="s">
        <v>300</v>
      </c>
      <c r="F203" s="164" t="s">
        <v>114</v>
      </c>
      <c r="G203" s="167">
        <f>G204</f>
        <v>19.55</v>
      </c>
      <c r="H203" s="367"/>
      <c r="I203" s="168">
        <f>ROUND(G203*H203,2)</f>
        <v>0</v>
      </c>
      <c r="J203" s="169">
        <v>2.45329</v>
      </c>
      <c r="K203" s="167">
        <f>G203*J203</f>
        <v>47.961819500000004</v>
      </c>
      <c r="L203" s="169">
        <v>0</v>
      </c>
      <c r="M203" s="167">
        <f>G203*L203</f>
        <v>0</v>
      </c>
      <c r="N203" s="170">
        <v>15</v>
      </c>
      <c r="O203" s="171">
        <v>4</v>
      </c>
      <c r="P203" s="14" t="s">
        <v>115</v>
      </c>
    </row>
    <row r="204" spans="4:19" s="14" customFormat="1" ht="15.75" customHeight="1" hidden="1" outlineLevel="1">
      <c r="D204" s="172"/>
      <c r="E204" s="173" t="s">
        <v>301</v>
      </c>
      <c r="G204" s="174">
        <f>230*(0.03/2+0.07)</f>
        <v>19.55</v>
      </c>
      <c r="P204" s="172" t="s">
        <v>115</v>
      </c>
      <c r="Q204" s="172" t="s">
        <v>115</v>
      </c>
      <c r="R204" s="172" t="s">
        <v>116</v>
      </c>
      <c r="S204" s="172" t="s">
        <v>106</v>
      </c>
    </row>
    <row r="205" spans="1:16" s="14" customFormat="1" ht="13.5" customHeight="1">
      <c r="A205" s="164" t="s">
        <v>302</v>
      </c>
      <c r="B205" s="164" t="s">
        <v>110</v>
      </c>
      <c r="C205" s="164" t="s">
        <v>119</v>
      </c>
      <c r="D205" s="165" t="s">
        <v>303</v>
      </c>
      <c r="E205" s="166" t="s">
        <v>304</v>
      </c>
      <c r="F205" s="164" t="s">
        <v>114</v>
      </c>
      <c r="G205" s="167">
        <f>G203</f>
        <v>19.55</v>
      </c>
      <c r="H205" s="367"/>
      <c r="I205" s="168">
        <f>ROUND(G205*H205,2)</f>
        <v>0</v>
      </c>
      <c r="J205" s="169">
        <v>0</v>
      </c>
      <c r="K205" s="167">
        <f>G205*J205</f>
        <v>0</v>
      </c>
      <c r="L205" s="169">
        <v>0</v>
      </c>
      <c r="M205" s="167">
        <f>G205*L205</f>
        <v>0</v>
      </c>
      <c r="N205" s="170">
        <v>15</v>
      </c>
      <c r="O205" s="171">
        <v>4</v>
      </c>
      <c r="P205" s="14" t="s">
        <v>115</v>
      </c>
    </row>
    <row r="206" spans="1:16" s="14" customFormat="1" ht="13.5" customHeight="1" collapsed="1">
      <c r="A206" s="164" t="s">
        <v>305</v>
      </c>
      <c r="B206" s="164" t="s">
        <v>110</v>
      </c>
      <c r="C206" s="164" t="s">
        <v>119</v>
      </c>
      <c r="D206" s="165" t="s">
        <v>306</v>
      </c>
      <c r="E206" s="166" t="s">
        <v>307</v>
      </c>
      <c r="F206" s="164" t="s">
        <v>156</v>
      </c>
      <c r="G206" s="167">
        <f>G207</f>
        <v>1.17438</v>
      </c>
      <c r="H206" s="367"/>
      <c r="I206" s="168">
        <f>ROUND(G206*H206,2)</f>
        <v>0</v>
      </c>
      <c r="J206" s="169">
        <v>1.05306</v>
      </c>
      <c r="K206" s="167">
        <f>G206*J206</f>
        <v>1.2366926028</v>
      </c>
      <c r="L206" s="169">
        <v>0</v>
      </c>
      <c r="M206" s="167">
        <f>G206*L206</f>
        <v>0</v>
      </c>
      <c r="N206" s="170">
        <v>15</v>
      </c>
      <c r="O206" s="171">
        <v>4</v>
      </c>
      <c r="P206" s="14" t="s">
        <v>115</v>
      </c>
    </row>
    <row r="207" spans="4:19" s="14" customFormat="1" ht="15.75" customHeight="1" hidden="1" outlineLevel="1">
      <c r="D207" s="172"/>
      <c r="E207" s="173" t="s">
        <v>308</v>
      </c>
      <c r="G207" s="174">
        <f>230*4.44*1.15/1000</f>
        <v>1.17438</v>
      </c>
      <c r="P207" s="172" t="s">
        <v>115</v>
      </c>
      <c r="Q207" s="172" t="s">
        <v>115</v>
      </c>
      <c r="R207" s="172" t="s">
        <v>116</v>
      </c>
      <c r="S207" s="172" t="s">
        <v>106</v>
      </c>
    </row>
    <row r="208" spans="1:16" s="14" customFormat="1" ht="13.5" customHeight="1" collapsed="1">
      <c r="A208" s="164" t="s">
        <v>309</v>
      </c>
      <c r="B208" s="164" t="s">
        <v>110</v>
      </c>
      <c r="C208" s="164" t="s">
        <v>119</v>
      </c>
      <c r="D208" s="165" t="s">
        <v>310</v>
      </c>
      <c r="E208" s="166" t="s">
        <v>311</v>
      </c>
      <c r="F208" s="164" t="s">
        <v>124</v>
      </c>
      <c r="G208" s="167">
        <f>G209</f>
        <v>68.58</v>
      </c>
      <c r="H208" s="367"/>
      <c r="I208" s="168">
        <f>ROUND(G208*H208,2)</f>
        <v>0</v>
      </c>
      <c r="J208" s="169">
        <v>0.0945</v>
      </c>
      <c r="K208" s="167">
        <f>G208*J208</f>
        <v>6.48081</v>
      </c>
      <c r="L208" s="169">
        <v>0</v>
      </c>
      <c r="M208" s="167">
        <f>G208*L208</f>
        <v>0</v>
      </c>
      <c r="N208" s="170">
        <v>15</v>
      </c>
      <c r="O208" s="171">
        <v>4</v>
      </c>
      <c r="P208" s="14" t="s">
        <v>115</v>
      </c>
    </row>
    <row r="209" spans="4:19" s="14" customFormat="1" ht="15.75" customHeight="1" hidden="1" outlineLevel="1">
      <c r="D209" s="172"/>
      <c r="E209" s="173" t="s">
        <v>312</v>
      </c>
      <c r="G209" s="174">
        <f>G537+G538+G556+G557</f>
        <v>68.58</v>
      </c>
      <c r="P209" s="172" t="s">
        <v>115</v>
      </c>
      <c r="Q209" s="172" t="s">
        <v>115</v>
      </c>
      <c r="R209" s="172" t="s">
        <v>116</v>
      </c>
      <c r="S209" s="172" t="s">
        <v>106</v>
      </c>
    </row>
    <row r="210" spans="1:16" s="14" customFormat="1" ht="13.5" customHeight="1" collapsed="1">
      <c r="A210" s="164" t="s">
        <v>313</v>
      </c>
      <c r="B210" s="164" t="s">
        <v>110</v>
      </c>
      <c r="C210" s="164" t="s">
        <v>119</v>
      </c>
      <c r="D210" s="165" t="s">
        <v>314</v>
      </c>
      <c r="E210" s="166" t="s">
        <v>315</v>
      </c>
      <c r="F210" s="164" t="s">
        <v>124</v>
      </c>
      <c r="G210" s="167">
        <f>G211*1.1</f>
        <v>185.647</v>
      </c>
      <c r="H210" s="367"/>
      <c r="I210" s="168">
        <f>ROUND(G210*H210,2)</f>
        <v>0</v>
      </c>
      <c r="J210" s="169">
        <v>0.00012</v>
      </c>
      <c r="K210" s="167">
        <f>G210*J210</f>
        <v>0.022277639999999998</v>
      </c>
      <c r="L210" s="169">
        <v>0</v>
      </c>
      <c r="M210" s="167">
        <f>G210*L210</f>
        <v>0</v>
      </c>
      <c r="N210" s="170">
        <v>15</v>
      </c>
      <c r="O210" s="171">
        <v>4</v>
      </c>
      <c r="P210" s="14" t="s">
        <v>115</v>
      </c>
    </row>
    <row r="211" spans="4:19" s="14" customFormat="1" ht="15.75" customHeight="1" hidden="1" outlineLevel="1">
      <c r="D211" s="172"/>
      <c r="E211" s="173" t="s">
        <v>316</v>
      </c>
      <c r="G211" s="174">
        <f>G537+G538+G556+G557+G558+G559</f>
        <v>168.76999999999998</v>
      </c>
      <c r="P211" s="172" t="s">
        <v>115</v>
      </c>
      <c r="Q211" s="172" t="s">
        <v>115</v>
      </c>
      <c r="R211" s="172" t="s">
        <v>116</v>
      </c>
      <c r="S211" s="172" t="s">
        <v>106</v>
      </c>
    </row>
    <row r="212" spans="1:16" s="14" customFormat="1" ht="24" customHeight="1">
      <c r="A212" s="164" t="s">
        <v>317</v>
      </c>
      <c r="B212" s="164" t="s">
        <v>110</v>
      </c>
      <c r="C212" s="164" t="s">
        <v>119</v>
      </c>
      <c r="D212" s="165" t="s">
        <v>318</v>
      </c>
      <c r="E212" s="166" t="s">
        <v>319</v>
      </c>
      <c r="F212" s="164" t="s">
        <v>143</v>
      </c>
      <c r="G212" s="167">
        <v>1</v>
      </c>
      <c r="H212" s="367"/>
      <c r="I212" s="168">
        <f>ROUND(G212*H212,2)</f>
        <v>0</v>
      </c>
      <c r="J212" s="169">
        <v>0.4417</v>
      </c>
      <c r="K212" s="167">
        <f>G212*J212</f>
        <v>0.4417</v>
      </c>
      <c r="L212" s="169">
        <v>0</v>
      </c>
      <c r="M212" s="167">
        <f>G212*L212</f>
        <v>0</v>
      </c>
      <c r="N212" s="170">
        <v>15</v>
      </c>
      <c r="O212" s="171">
        <v>4</v>
      </c>
      <c r="P212" s="14" t="s">
        <v>115</v>
      </c>
    </row>
    <row r="213" spans="1:16" s="14" customFormat="1" ht="13.5" customHeight="1">
      <c r="A213" s="179" t="s">
        <v>320</v>
      </c>
      <c r="B213" s="179" t="s">
        <v>146</v>
      </c>
      <c r="C213" s="179" t="s">
        <v>147</v>
      </c>
      <c r="D213" s="180" t="s">
        <v>321</v>
      </c>
      <c r="E213" s="181" t="s">
        <v>322</v>
      </c>
      <c r="F213" s="179" t="s">
        <v>143</v>
      </c>
      <c r="G213" s="182">
        <v>1</v>
      </c>
      <c r="H213" s="368"/>
      <c r="I213" s="183">
        <f>ROUND(G213*H213,2)</f>
        <v>0</v>
      </c>
      <c r="J213" s="184">
        <v>0.0114</v>
      </c>
      <c r="K213" s="182">
        <f>G213*J213</f>
        <v>0.0114</v>
      </c>
      <c r="L213" s="184">
        <v>0</v>
      </c>
      <c r="M213" s="182">
        <f>G213*L213</f>
        <v>0</v>
      </c>
      <c r="N213" s="185">
        <v>15</v>
      </c>
      <c r="O213" s="186">
        <v>8</v>
      </c>
      <c r="P213" s="187" t="s">
        <v>115</v>
      </c>
    </row>
    <row r="214" spans="2:16" s="133" customFormat="1" ht="12.75" customHeight="1">
      <c r="B214" s="138" t="s">
        <v>63</v>
      </c>
      <c r="D214" s="139" t="s">
        <v>140</v>
      </c>
      <c r="E214" s="139" t="s">
        <v>323</v>
      </c>
      <c r="I214" s="140">
        <f>I215+SUM(I216:I253)</f>
        <v>0</v>
      </c>
      <c r="K214" s="141">
        <f>K215+SUM(K216:K253)</f>
        <v>0.027797799999999998</v>
      </c>
      <c r="M214" s="141">
        <f>M215+SUM(M216:M253)</f>
        <v>217.11761439999998</v>
      </c>
      <c r="P214" s="139" t="s">
        <v>109</v>
      </c>
    </row>
    <row r="215" spans="1:16" s="14" customFormat="1" ht="24" customHeight="1" collapsed="1">
      <c r="A215" s="164" t="s">
        <v>324</v>
      </c>
      <c r="B215" s="164" t="s">
        <v>110</v>
      </c>
      <c r="C215" s="164" t="s">
        <v>325</v>
      </c>
      <c r="D215" s="165" t="s">
        <v>326</v>
      </c>
      <c r="E215" s="166" t="s">
        <v>327</v>
      </c>
      <c r="F215" s="164" t="s">
        <v>124</v>
      </c>
      <c r="G215" s="167">
        <f>G216</f>
        <v>97.97999999999999</v>
      </c>
      <c r="H215" s="367"/>
      <c r="I215" s="168">
        <f>ROUND(G215*H215,2)</f>
        <v>0</v>
      </c>
      <c r="J215" s="169">
        <v>0.00021</v>
      </c>
      <c r="K215" s="167">
        <f>G215*J215</f>
        <v>0.020575799999999998</v>
      </c>
      <c r="L215" s="169">
        <v>0</v>
      </c>
      <c r="M215" s="167">
        <f>G215*L215</f>
        <v>0</v>
      </c>
      <c r="N215" s="170">
        <v>15</v>
      </c>
      <c r="O215" s="171">
        <v>4</v>
      </c>
      <c r="P215" s="14" t="s">
        <v>115</v>
      </c>
    </row>
    <row r="216" spans="4:19" s="14" customFormat="1" ht="15.75" customHeight="1" hidden="1" outlineLevel="1">
      <c r="D216" s="172"/>
      <c r="E216" s="173" t="s">
        <v>1364</v>
      </c>
      <c r="G216" s="174">
        <f>7.53+26.07+18.64+8.85+1.18+3.81+29.4+2.5</f>
        <v>97.97999999999999</v>
      </c>
      <c r="P216" s="172" t="s">
        <v>115</v>
      </c>
      <c r="Q216" s="172" t="s">
        <v>115</v>
      </c>
      <c r="R216" s="172" t="s">
        <v>116</v>
      </c>
      <c r="S216" s="172" t="s">
        <v>106</v>
      </c>
    </row>
    <row r="217" spans="1:16" s="14" customFormat="1" ht="13.5" customHeight="1" collapsed="1">
      <c r="A217" s="164" t="s">
        <v>328</v>
      </c>
      <c r="B217" s="164" t="s">
        <v>110</v>
      </c>
      <c r="C217" s="164" t="s">
        <v>119</v>
      </c>
      <c r="D217" s="165" t="s">
        <v>329</v>
      </c>
      <c r="E217" s="166" t="s">
        <v>330</v>
      </c>
      <c r="F217" s="164" t="s">
        <v>124</v>
      </c>
      <c r="G217" s="167">
        <f>G218</f>
        <v>180.55</v>
      </c>
      <c r="H217" s="367"/>
      <c r="I217" s="168">
        <f>ROUND(G217*H217,2)</f>
        <v>0</v>
      </c>
      <c r="J217" s="169">
        <v>4E-05</v>
      </c>
      <c r="K217" s="167">
        <f>G217*J217</f>
        <v>0.007222000000000001</v>
      </c>
      <c r="L217" s="169">
        <v>0</v>
      </c>
      <c r="M217" s="167">
        <f>G217*L217</f>
        <v>0</v>
      </c>
      <c r="N217" s="170">
        <v>15</v>
      </c>
      <c r="O217" s="171">
        <v>4</v>
      </c>
      <c r="P217" s="14" t="s">
        <v>115</v>
      </c>
    </row>
    <row r="218" spans="4:19" s="14" customFormat="1" ht="15.75" customHeight="1" hidden="1" outlineLevel="1">
      <c r="D218" s="172"/>
      <c r="E218" s="173" t="s">
        <v>1365</v>
      </c>
      <c r="G218" s="174">
        <f>79.96+100.59</f>
        <v>180.55</v>
      </c>
      <c r="P218" s="172" t="s">
        <v>115</v>
      </c>
      <c r="Q218" s="172" t="s">
        <v>115</v>
      </c>
      <c r="R218" s="172" t="s">
        <v>116</v>
      </c>
      <c r="S218" s="172" t="s">
        <v>106</v>
      </c>
    </row>
    <row r="219" spans="1:16" s="14" customFormat="1" ht="13.5" customHeight="1" collapsed="1">
      <c r="A219" s="164" t="s">
        <v>331</v>
      </c>
      <c r="B219" s="164" t="s">
        <v>110</v>
      </c>
      <c r="C219" s="164" t="s">
        <v>332</v>
      </c>
      <c r="D219" s="165" t="s">
        <v>333</v>
      </c>
      <c r="E219" s="166" t="s">
        <v>334</v>
      </c>
      <c r="F219" s="164" t="s">
        <v>124</v>
      </c>
      <c r="G219" s="167">
        <f>G220</f>
        <v>1.04</v>
      </c>
      <c r="H219" s="367"/>
      <c r="I219" s="168">
        <f>ROUND(G219*H219,2)</f>
        <v>0</v>
      </c>
      <c r="J219" s="169">
        <v>0</v>
      </c>
      <c r="K219" s="167">
        <f>G219*J219</f>
        <v>0</v>
      </c>
      <c r="L219" s="169">
        <v>0.261</v>
      </c>
      <c r="M219" s="167">
        <f>G219*L219</f>
        <v>0.27144</v>
      </c>
      <c r="N219" s="170">
        <v>15</v>
      </c>
      <c r="O219" s="171">
        <v>4</v>
      </c>
      <c r="P219" s="14" t="s">
        <v>115</v>
      </c>
    </row>
    <row r="220" spans="4:19" s="14" customFormat="1" ht="15.75" customHeight="1" hidden="1" outlineLevel="1">
      <c r="D220" s="172"/>
      <c r="E220" s="173" t="s">
        <v>1366</v>
      </c>
      <c r="G220" s="174">
        <f>2.08/2</f>
        <v>1.04</v>
      </c>
      <c r="P220" s="172" t="s">
        <v>115</v>
      </c>
      <c r="Q220" s="172" t="s">
        <v>115</v>
      </c>
      <c r="R220" s="172" t="s">
        <v>116</v>
      </c>
      <c r="S220" s="172" t="s">
        <v>106</v>
      </c>
    </row>
    <row r="221" spans="1:16" s="14" customFormat="1" ht="13.5" customHeight="1" collapsed="1">
      <c r="A221" s="164" t="s">
        <v>335</v>
      </c>
      <c r="B221" s="164" t="s">
        <v>110</v>
      </c>
      <c r="C221" s="164" t="s">
        <v>332</v>
      </c>
      <c r="D221" s="165" t="s">
        <v>336</v>
      </c>
      <c r="E221" s="166" t="s">
        <v>337</v>
      </c>
      <c r="F221" s="164" t="s">
        <v>114</v>
      </c>
      <c r="G221" s="167">
        <f>SUM(G222:G225)</f>
        <v>6.894595000000001</v>
      </c>
      <c r="H221" s="367"/>
      <c r="I221" s="168">
        <f>ROUND(G221*H221,2)</f>
        <v>0</v>
      </c>
      <c r="J221" s="169">
        <v>0</v>
      </c>
      <c r="K221" s="167">
        <f>G221*J221</f>
        <v>0</v>
      </c>
      <c r="L221" s="169">
        <v>1.8</v>
      </c>
      <c r="M221" s="167">
        <f>G221*L221</f>
        <v>12.410271000000002</v>
      </c>
      <c r="N221" s="170">
        <v>15</v>
      </c>
      <c r="O221" s="171">
        <v>4</v>
      </c>
      <c r="P221" s="14" t="s">
        <v>115</v>
      </c>
    </row>
    <row r="222" spans="4:19" s="14" customFormat="1" ht="15.75" customHeight="1" hidden="1" outlineLevel="1">
      <c r="D222" s="172"/>
      <c r="E222" s="173" t="s">
        <v>1370</v>
      </c>
      <c r="G222" s="174">
        <f>(4.3+3.4)/2*5.2*0.25</f>
        <v>5.005</v>
      </c>
      <c r="P222" s="172" t="s">
        <v>115</v>
      </c>
      <c r="Q222" s="172" t="s">
        <v>115</v>
      </c>
      <c r="R222" s="172" t="s">
        <v>116</v>
      </c>
      <c r="S222" s="172" t="s">
        <v>106</v>
      </c>
    </row>
    <row r="223" spans="4:19" s="14" customFormat="1" ht="15.75" customHeight="1" hidden="1" outlineLevel="1">
      <c r="D223" s="172"/>
      <c r="E223" s="173" t="s">
        <v>1369</v>
      </c>
      <c r="G223" s="174">
        <f>4.1*(17.57-17.16)*0.45</f>
        <v>0.7564500000000003</v>
      </c>
      <c r="P223" s="172" t="s">
        <v>115</v>
      </c>
      <c r="Q223" s="172" t="s">
        <v>115</v>
      </c>
      <c r="R223" s="172" t="s">
        <v>116</v>
      </c>
      <c r="S223" s="172" t="s">
        <v>106</v>
      </c>
    </row>
    <row r="224" spans="4:19" s="14" customFormat="1" ht="15.75" customHeight="1" hidden="1" outlineLevel="1">
      <c r="D224" s="172"/>
      <c r="E224" s="173" t="s">
        <v>1367</v>
      </c>
      <c r="G224" s="174">
        <f>0.465*2.2*(0.615)</f>
        <v>0.6291450000000001</v>
      </c>
      <c r="P224" s="172" t="s">
        <v>115</v>
      </c>
      <c r="Q224" s="172" t="s">
        <v>115</v>
      </c>
      <c r="R224" s="172" t="s">
        <v>116</v>
      </c>
      <c r="S224" s="172" t="s">
        <v>106</v>
      </c>
    </row>
    <row r="225" spans="4:19" s="14" customFormat="1" ht="15.75" customHeight="1" hidden="1" outlineLevel="1">
      <c r="D225" s="172"/>
      <c r="E225" s="173" t="s">
        <v>1368</v>
      </c>
      <c r="G225" s="174">
        <f>0.25*0.18*22.4/2</f>
        <v>0.504</v>
      </c>
      <c r="P225" s="172" t="s">
        <v>115</v>
      </c>
      <c r="Q225" s="172" t="s">
        <v>115</v>
      </c>
      <c r="R225" s="172" t="s">
        <v>116</v>
      </c>
      <c r="S225" s="172" t="s">
        <v>106</v>
      </c>
    </row>
    <row r="226" spans="1:16" s="14" customFormat="1" ht="13.5" customHeight="1" collapsed="1">
      <c r="A226" s="164" t="s">
        <v>338</v>
      </c>
      <c r="B226" s="164" t="s">
        <v>110</v>
      </c>
      <c r="C226" s="164" t="s">
        <v>332</v>
      </c>
      <c r="D226" s="165" t="s">
        <v>339</v>
      </c>
      <c r="E226" s="166" t="s">
        <v>340</v>
      </c>
      <c r="F226" s="164" t="s">
        <v>114</v>
      </c>
      <c r="G226" s="167">
        <f>G227</f>
        <v>10.17</v>
      </c>
      <c r="H226" s="367"/>
      <c r="I226" s="168">
        <f>ROUND(G226*H226,2)</f>
        <v>0</v>
      </c>
      <c r="J226" s="169">
        <v>0</v>
      </c>
      <c r="K226" s="167">
        <f>G226*J226</f>
        <v>0</v>
      </c>
      <c r="L226" s="169">
        <v>2.1</v>
      </c>
      <c r="M226" s="167">
        <f>G226*L226</f>
        <v>21.357</v>
      </c>
      <c r="N226" s="170">
        <v>15</v>
      </c>
      <c r="O226" s="171">
        <v>4</v>
      </c>
      <c r="P226" s="14" t="s">
        <v>115</v>
      </c>
    </row>
    <row r="227" spans="4:19" s="14" customFormat="1" ht="15.75" customHeight="1" hidden="1" outlineLevel="1">
      <c r="D227" s="172"/>
      <c r="E227" s="173" t="s">
        <v>1371</v>
      </c>
      <c r="G227" s="174">
        <f>(14.4*5.75+6.6*4*2)*0.15/2</f>
        <v>10.17</v>
      </c>
      <c r="P227" s="172" t="s">
        <v>115</v>
      </c>
      <c r="Q227" s="172" t="s">
        <v>115</v>
      </c>
      <c r="R227" s="172" t="s">
        <v>116</v>
      </c>
      <c r="S227" s="172" t="s">
        <v>106</v>
      </c>
    </row>
    <row r="228" spans="1:16" s="14" customFormat="1" ht="24" customHeight="1" collapsed="1">
      <c r="A228" s="164" t="s">
        <v>341</v>
      </c>
      <c r="B228" s="164" t="s">
        <v>110</v>
      </c>
      <c r="C228" s="164" t="s">
        <v>332</v>
      </c>
      <c r="D228" s="165" t="s">
        <v>342</v>
      </c>
      <c r="E228" s="166" t="s">
        <v>343</v>
      </c>
      <c r="F228" s="164" t="s">
        <v>114</v>
      </c>
      <c r="G228" s="167">
        <f>G229</f>
        <v>98.859</v>
      </c>
      <c r="H228" s="367"/>
      <c r="I228" s="168">
        <f>ROUND(G228*H228,2)</f>
        <v>0</v>
      </c>
      <c r="J228" s="169">
        <v>0</v>
      </c>
      <c r="K228" s="167">
        <f>G228*J228</f>
        <v>0</v>
      </c>
      <c r="L228" s="169">
        <v>1.6</v>
      </c>
      <c r="M228" s="167">
        <f>G228*L228</f>
        <v>158.1744</v>
      </c>
      <c r="N228" s="170">
        <v>15</v>
      </c>
      <c r="O228" s="171">
        <v>4</v>
      </c>
      <c r="P228" s="14" t="s">
        <v>115</v>
      </c>
    </row>
    <row r="229" spans="4:19" s="14" customFormat="1" ht="15.75" customHeight="1" hidden="1" outlineLevel="1">
      <c r="D229" s="172"/>
      <c r="E229" s="173" t="s">
        <v>1372</v>
      </c>
      <c r="G229" s="174">
        <f>4*5.15+6.8*1.67+2.705*0.6+7.5*4+6.3*5.6</f>
        <v>98.859</v>
      </c>
      <c r="P229" s="172" t="s">
        <v>115</v>
      </c>
      <c r="Q229" s="172" t="s">
        <v>115</v>
      </c>
      <c r="R229" s="172" t="s">
        <v>116</v>
      </c>
      <c r="S229" s="172" t="s">
        <v>106</v>
      </c>
    </row>
    <row r="230" spans="1:16" s="14" customFormat="1" ht="13.5" customHeight="1" collapsed="1">
      <c r="A230" s="164" t="s">
        <v>344</v>
      </c>
      <c r="B230" s="164" t="s">
        <v>110</v>
      </c>
      <c r="C230" s="164" t="s">
        <v>345</v>
      </c>
      <c r="D230" s="165" t="s">
        <v>346</v>
      </c>
      <c r="E230" s="166" t="s">
        <v>347</v>
      </c>
      <c r="F230" s="164" t="s">
        <v>124</v>
      </c>
      <c r="G230" s="167">
        <f>G231</f>
        <v>98.859</v>
      </c>
      <c r="H230" s="367"/>
      <c r="I230" s="168">
        <f>ROUND(G230*H230,2)</f>
        <v>0</v>
      </c>
      <c r="J230" s="169">
        <v>0</v>
      </c>
      <c r="K230" s="167">
        <f>G230*J230</f>
        <v>0</v>
      </c>
      <c r="L230" s="169">
        <v>0.036</v>
      </c>
      <c r="M230" s="167">
        <f>G230*L230</f>
        <v>3.5589239999999998</v>
      </c>
      <c r="N230" s="170">
        <v>15</v>
      </c>
      <c r="O230" s="171">
        <v>4</v>
      </c>
      <c r="P230" s="14" t="s">
        <v>115</v>
      </c>
    </row>
    <row r="231" spans="4:19" s="14" customFormat="1" ht="21.75" customHeight="1" hidden="1" outlineLevel="1">
      <c r="D231" s="172"/>
      <c r="E231" s="173" t="s">
        <v>1372</v>
      </c>
      <c r="G231" s="174">
        <f>4*5.15+6.8*1.67+2.705*0.6+7.5*4+6.3*5.6</f>
        <v>98.859</v>
      </c>
      <c r="P231" s="172" t="s">
        <v>115</v>
      </c>
      <c r="Q231" s="172" t="s">
        <v>115</v>
      </c>
      <c r="R231" s="172" t="s">
        <v>116</v>
      </c>
      <c r="S231" s="172" t="s">
        <v>106</v>
      </c>
    </row>
    <row r="232" spans="1:16" s="14" customFormat="1" ht="13.5" customHeight="1" collapsed="1">
      <c r="A232" s="164" t="s">
        <v>348</v>
      </c>
      <c r="B232" s="164" t="s">
        <v>110</v>
      </c>
      <c r="C232" s="164" t="s">
        <v>345</v>
      </c>
      <c r="D232" s="165" t="s">
        <v>349</v>
      </c>
      <c r="E232" s="166" t="s">
        <v>350</v>
      </c>
      <c r="F232" s="164" t="s">
        <v>124</v>
      </c>
      <c r="G232" s="167">
        <v>25.74</v>
      </c>
      <c r="H232" s="367"/>
      <c r="I232" s="168">
        <f>ROUND(G232*H232,2)</f>
        <v>0</v>
      </c>
      <c r="J232" s="169">
        <v>0</v>
      </c>
      <c r="K232" s="167">
        <f>G232*J232</f>
        <v>0</v>
      </c>
      <c r="L232" s="169">
        <v>0.162</v>
      </c>
      <c r="M232" s="167">
        <f>G232*L232</f>
        <v>4.16988</v>
      </c>
      <c r="N232" s="170">
        <v>15</v>
      </c>
      <c r="O232" s="171">
        <v>4</v>
      </c>
      <c r="P232" s="14" t="s">
        <v>115</v>
      </c>
    </row>
    <row r="233" spans="4:19" s="14" customFormat="1" ht="15.75" customHeight="1" hidden="1" outlineLevel="1">
      <c r="D233" s="172"/>
      <c r="E233" s="173" t="s">
        <v>351</v>
      </c>
      <c r="G233" s="174">
        <v>25.74</v>
      </c>
      <c r="P233" s="172" t="s">
        <v>115</v>
      </c>
      <c r="Q233" s="172" t="s">
        <v>115</v>
      </c>
      <c r="R233" s="172" t="s">
        <v>116</v>
      </c>
      <c r="S233" s="172" t="s">
        <v>106</v>
      </c>
    </row>
    <row r="234" spans="1:16" s="14" customFormat="1" ht="13.5" customHeight="1" collapsed="1">
      <c r="A234" s="164" t="s">
        <v>352</v>
      </c>
      <c r="B234" s="164" t="s">
        <v>110</v>
      </c>
      <c r="C234" s="164" t="s">
        <v>332</v>
      </c>
      <c r="D234" s="165" t="s">
        <v>353</v>
      </c>
      <c r="E234" s="166" t="s">
        <v>354</v>
      </c>
      <c r="F234" s="164" t="s">
        <v>124</v>
      </c>
      <c r="G234" s="167">
        <f>G235</f>
        <v>98.859</v>
      </c>
      <c r="H234" s="367"/>
      <c r="I234" s="168">
        <f>ROUND(G234*H234,2)</f>
        <v>0</v>
      </c>
      <c r="J234" s="169">
        <v>0</v>
      </c>
      <c r="K234" s="167">
        <f>G234*J234</f>
        <v>0</v>
      </c>
      <c r="L234" s="169">
        <v>0.045</v>
      </c>
      <c r="M234" s="167">
        <f>G234*L234</f>
        <v>4.448655</v>
      </c>
      <c r="N234" s="170">
        <v>15</v>
      </c>
      <c r="O234" s="171">
        <v>4</v>
      </c>
      <c r="P234" s="14" t="s">
        <v>115</v>
      </c>
    </row>
    <row r="235" spans="4:19" s="14" customFormat="1" ht="15.75" customHeight="1" hidden="1" outlineLevel="1">
      <c r="D235" s="172"/>
      <c r="E235" s="173" t="s">
        <v>1372</v>
      </c>
      <c r="G235" s="174">
        <f>4*5.15+6.8*1.67+2.705*0.6+7.5*4+6.3*5.6</f>
        <v>98.859</v>
      </c>
      <c r="P235" s="172" t="s">
        <v>115</v>
      </c>
      <c r="Q235" s="172" t="s">
        <v>115</v>
      </c>
      <c r="R235" s="172" t="s">
        <v>116</v>
      </c>
      <c r="S235" s="172" t="s">
        <v>106</v>
      </c>
    </row>
    <row r="236" spans="1:16" s="14" customFormat="1" ht="13.5" customHeight="1" collapsed="1">
      <c r="A236" s="164" t="s">
        <v>355</v>
      </c>
      <c r="B236" s="164" t="s">
        <v>110</v>
      </c>
      <c r="C236" s="164" t="s">
        <v>332</v>
      </c>
      <c r="D236" s="165" t="s">
        <v>356</v>
      </c>
      <c r="E236" s="166" t="s">
        <v>357</v>
      </c>
      <c r="F236" s="164" t="s">
        <v>124</v>
      </c>
      <c r="G236" s="167">
        <f>G237</f>
        <v>0.336</v>
      </c>
      <c r="H236" s="367"/>
      <c r="I236" s="168">
        <f>ROUND(G236*H236,2)</f>
        <v>0</v>
      </c>
      <c r="J236" s="169">
        <v>0</v>
      </c>
      <c r="K236" s="167">
        <f>G236*J236</f>
        <v>0</v>
      </c>
      <c r="L236" s="169">
        <v>0.031</v>
      </c>
      <c r="M236" s="167">
        <f>G236*L236</f>
        <v>0.010416</v>
      </c>
      <c r="N236" s="170">
        <v>15</v>
      </c>
      <c r="O236" s="171">
        <v>4</v>
      </c>
      <c r="P236" s="14" t="s">
        <v>115</v>
      </c>
    </row>
    <row r="237" spans="4:19" s="14" customFormat="1" ht="15.75" customHeight="1" hidden="1" outlineLevel="1">
      <c r="D237" s="172"/>
      <c r="E237" s="173" t="s">
        <v>1373</v>
      </c>
      <c r="G237" s="174">
        <f>0.42*0.8</f>
        <v>0.336</v>
      </c>
      <c r="P237" s="172" t="s">
        <v>115</v>
      </c>
      <c r="Q237" s="172" t="s">
        <v>115</v>
      </c>
      <c r="R237" s="172" t="s">
        <v>116</v>
      </c>
      <c r="S237" s="172" t="s">
        <v>106</v>
      </c>
    </row>
    <row r="238" spans="1:16" s="14" customFormat="1" ht="13.5" customHeight="1" collapsed="1">
      <c r="A238" s="164" t="s">
        <v>358</v>
      </c>
      <c r="B238" s="164" t="s">
        <v>110</v>
      </c>
      <c r="C238" s="164" t="s">
        <v>332</v>
      </c>
      <c r="D238" s="165" t="s">
        <v>359</v>
      </c>
      <c r="E238" s="166" t="s">
        <v>360</v>
      </c>
      <c r="F238" s="164" t="s">
        <v>124</v>
      </c>
      <c r="G238" s="167">
        <f>G239</f>
        <v>0.425</v>
      </c>
      <c r="H238" s="367"/>
      <c r="I238" s="168">
        <f>ROUND(G238*H238,2)</f>
        <v>0</v>
      </c>
      <c r="J238" s="169">
        <v>0</v>
      </c>
      <c r="K238" s="167">
        <f>G238*J238</f>
        <v>0</v>
      </c>
      <c r="L238" s="169">
        <v>0.062</v>
      </c>
      <c r="M238" s="167">
        <f>G238*L238</f>
        <v>0.02635</v>
      </c>
      <c r="N238" s="170">
        <v>15</v>
      </c>
      <c r="O238" s="171">
        <v>4</v>
      </c>
      <c r="P238" s="14" t="s">
        <v>115</v>
      </c>
    </row>
    <row r="239" spans="4:19" s="14" customFormat="1" ht="15.75" customHeight="1" hidden="1" outlineLevel="1">
      <c r="D239" s="172"/>
      <c r="E239" s="173" t="s">
        <v>1374</v>
      </c>
      <c r="G239" s="174">
        <f>1*0.425</f>
        <v>0.425</v>
      </c>
      <c r="P239" s="172" t="s">
        <v>115</v>
      </c>
      <c r="Q239" s="172" t="s">
        <v>115</v>
      </c>
      <c r="R239" s="172" t="s">
        <v>116</v>
      </c>
      <c r="S239" s="172" t="s">
        <v>106</v>
      </c>
    </row>
    <row r="240" spans="1:16" s="14" customFormat="1" ht="13.5" customHeight="1" collapsed="1">
      <c r="A240" s="164" t="s">
        <v>361</v>
      </c>
      <c r="B240" s="164" t="s">
        <v>110</v>
      </c>
      <c r="C240" s="164" t="s">
        <v>332</v>
      </c>
      <c r="D240" s="165" t="s">
        <v>362</v>
      </c>
      <c r="E240" s="166" t="s">
        <v>363</v>
      </c>
      <c r="F240" s="164" t="s">
        <v>124</v>
      </c>
      <c r="G240" s="167">
        <f>G241</f>
        <v>5.915</v>
      </c>
      <c r="H240" s="367"/>
      <c r="I240" s="168">
        <f>ROUND(G240*H240,2)</f>
        <v>0</v>
      </c>
      <c r="J240" s="169">
        <v>0</v>
      </c>
      <c r="K240" s="167">
        <f>G240*J240</f>
        <v>0</v>
      </c>
      <c r="L240" s="169">
        <v>0.054</v>
      </c>
      <c r="M240" s="167">
        <f>G240*L240</f>
        <v>0.31940999999999997</v>
      </c>
      <c r="N240" s="170">
        <v>15</v>
      </c>
      <c r="O240" s="171">
        <v>4</v>
      </c>
      <c r="P240" s="14" t="s">
        <v>115</v>
      </c>
    </row>
    <row r="241" spans="4:19" s="14" customFormat="1" ht="15.75" customHeight="1" hidden="1" outlineLevel="1">
      <c r="D241" s="172"/>
      <c r="E241" s="173" t="s">
        <v>1375</v>
      </c>
      <c r="G241" s="174">
        <f>11.83/2</f>
        <v>5.915</v>
      </c>
      <c r="P241" s="172" t="s">
        <v>115</v>
      </c>
      <c r="Q241" s="172" t="s">
        <v>115</v>
      </c>
      <c r="R241" s="172" t="s">
        <v>116</v>
      </c>
      <c r="S241" s="172" t="s">
        <v>106</v>
      </c>
    </row>
    <row r="242" spans="1:16" s="14" customFormat="1" ht="13.5" customHeight="1" collapsed="1">
      <c r="A242" s="164" t="s">
        <v>364</v>
      </c>
      <c r="B242" s="164" t="s">
        <v>110</v>
      </c>
      <c r="C242" s="164" t="s">
        <v>332</v>
      </c>
      <c r="D242" s="165" t="s">
        <v>365</v>
      </c>
      <c r="E242" s="166" t="s">
        <v>366</v>
      </c>
      <c r="F242" s="164" t="s">
        <v>124</v>
      </c>
      <c r="G242" s="167">
        <f>G243</f>
        <v>1.8009</v>
      </c>
      <c r="H242" s="367"/>
      <c r="I242" s="168">
        <f>ROUND(G242*H242,2)</f>
        <v>0</v>
      </c>
      <c r="J242" s="169">
        <v>0</v>
      </c>
      <c r="K242" s="167">
        <f>G242*J242</f>
        <v>0</v>
      </c>
      <c r="L242" s="169">
        <v>0.076</v>
      </c>
      <c r="M242" s="167">
        <f>G242*L242</f>
        <v>0.1368684</v>
      </c>
      <c r="N242" s="170">
        <v>15</v>
      </c>
      <c r="O242" s="171">
        <v>4</v>
      </c>
      <c r="P242" s="14" t="s">
        <v>115</v>
      </c>
    </row>
    <row r="243" spans="4:19" s="14" customFormat="1" ht="15.75" customHeight="1" hidden="1" outlineLevel="1">
      <c r="D243" s="172"/>
      <c r="E243" s="173" t="s">
        <v>1376</v>
      </c>
      <c r="G243" s="174">
        <f>0.87*2.07</f>
        <v>1.8009</v>
      </c>
      <c r="P243" s="172" t="s">
        <v>115</v>
      </c>
      <c r="Q243" s="172" t="s">
        <v>115</v>
      </c>
      <c r="R243" s="172" t="s">
        <v>116</v>
      </c>
      <c r="S243" s="172" t="s">
        <v>106</v>
      </c>
    </row>
    <row r="244" spans="1:16" s="14" customFormat="1" ht="13.5" customHeight="1" collapsed="1">
      <c r="A244" s="164" t="s">
        <v>367</v>
      </c>
      <c r="B244" s="164" t="s">
        <v>110</v>
      </c>
      <c r="C244" s="164" t="s">
        <v>332</v>
      </c>
      <c r="D244" s="165" t="s">
        <v>368</v>
      </c>
      <c r="E244" s="166" t="s">
        <v>369</v>
      </c>
      <c r="F244" s="164" t="s">
        <v>114</v>
      </c>
      <c r="G244" s="167">
        <v>1.188</v>
      </c>
      <c r="H244" s="367"/>
      <c r="I244" s="168">
        <f>ROUND(G244*H244,2)</f>
        <v>0</v>
      </c>
      <c r="J244" s="169">
        <v>0</v>
      </c>
      <c r="K244" s="167">
        <f>G244*J244</f>
        <v>0</v>
      </c>
      <c r="L244" s="169">
        <v>1.8</v>
      </c>
      <c r="M244" s="167">
        <f>G244*L244</f>
        <v>2.1384</v>
      </c>
      <c r="N244" s="170">
        <v>15</v>
      </c>
      <c r="O244" s="171">
        <v>4</v>
      </c>
      <c r="P244" s="14" t="s">
        <v>115</v>
      </c>
    </row>
    <row r="245" spans="4:19" s="14" customFormat="1" ht="15.75" customHeight="1" hidden="1" outlineLevel="1">
      <c r="D245" s="172"/>
      <c r="E245" s="173" t="s">
        <v>370</v>
      </c>
      <c r="G245" s="174">
        <v>1.188</v>
      </c>
      <c r="P245" s="172" t="s">
        <v>115</v>
      </c>
      <c r="Q245" s="172" t="s">
        <v>115</v>
      </c>
      <c r="R245" s="172" t="s">
        <v>116</v>
      </c>
      <c r="S245" s="172" t="s">
        <v>106</v>
      </c>
    </row>
    <row r="246" spans="1:16" s="14" customFormat="1" ht="24" customHeight="1" collapsed="1">
      <c r="A246" s="164" t="s">
        <v>371</v>
      </c>
      <c r="B246" s="164" t="s">
        <v>110</v>
      </c>
      <c r="C246" s="164" t="s">
        <v>332</v>
      </c>
      <c r="D246" s="165" t="s">
        <v>372</v>
      </c>
      <c r="E246" s="166" t="s">
        <v>373</v>
      </c>
      <c r="F246" s="164" t="s">
        <v>143</v>
      </c>
      <c r="G246" s="167">
        <f>SUM(G247:G249)</f>
        <v>68</v>
      </c>
      <c r="H246" s="367"/>
      <c r="I246" s="168">
        <f>ROUND(G246*H246,2)</f>
        <v>0</v>
      </c>
      <c r="J246" s="169">
        <v>0</v>
      </c>
      <c r="K246" s="167">
        <f>G246*J246</f>
        <v>0</v>
      </c>
      <c r="L246" s="169">
        <v>0.098</v>
      </c>
      <c r="M246" s="167">
        <f>G246*L246</f>
        <v>6.664000000000001</v>
      </c>
      <c r="N246" s="170">
        <v>15</v>
      </c>
      <c r="O246" s="171">
        <v>4</v>
      </c>
      <c r="P246" s="14" t="s">
        <v>115</v>
      </c>
    </row>
    <row r="247" spans="4:19" s="14" customFormat="1" ht="15.75" customHeight="1" hidden="1" outlineLevel="1">
      <c r="D247" s="172"/>
      <c r="E247" s="173" t="s">
        <v>1377</v>
      </c>
      <c r="G247" s="174">
        <v>6</v>
      </c>
      <c r="P247" s="172" t="s">
        <v>115</v>
      </c>
      <c r="Q247" s="172" t="s">
        <v>115</v>
      </c>
      <c r="R247" s="172" t="s">
        <v>116</v>
      </c>
      <c r="S247" s="172" t="s">
        <v>106</v>
      </c>
    </row>
    <row r="248" spans="4:19" s="14" customFormat="1" ht="15.75" customHeight="1" hidden="1" outlineLevel="1">
      <c r="D248" s="172"/>
      <c r="E248" s="173" t="s">
        <v>1332</v>
      </c>
      <c r="G248" s="174">
        <v>39</v>
      </c>
      <c r="P248" s="172" t="s">
        <v>115</v>
      </c>
      <c r="Q248" s="172" t="s">
        <v>115</v>
      </c>
      <c r="R248" s="172" t="s">
        <v>116</v>
      </c>
      <c r="S248" s="172" t="s">
        <v>106</v>
      </c>
    </row>
    <row r="249" spans="4:19" s="14" customFormat="1" ht="15.75" customHeight="1" hidden="1" outlineLevel="1">
      <c r="D249" s="172"/>
      <c r="E249" s="173" t="s">
        <v>1333</v>
      </c>
      <c r="G249" s="174">
        <v>23</v>
      </c>
      <c r="P249" s="172" t="s">
        <v>115</v>
      </c>
      <c r="Q249" s="172" t="s">
        <v>115</v>
      </c>
      <c r="R249" s="172" t="s">
        <v>116</v>
      </c>
      <c r="S249" s="172" t="s">
        <v>106</v>
      </c>
    </row>
    <row r="250" spans="1:16" s="14" customFormat="1" ht="13.5" customHeight="1" collapsed="1">
      <c r="A250" s="164" t="s">
        <v>374</v>
      </c>
      <c r="B250" s="164" t="s">
        <v>110</v>
      </c>
      <c r="C250" s="164" t="s">
        <v>332</v>
      </c>
      <c r="D250" s="165" t="s">
        <v>375</v>
      </c>
      <c r="E250" s="166" t="s">
        <v>376</v>
      </c>
      <c r="F250" s="164" t="s">
        <v>124</v>
      </c>
      <c r="G250" s="167">
        <f>G251</f>
        <v>73.6</v>
      </c>
      <c r="H250" s="367"/>
      <c r="I250" s="168">
        <f>ROUND(G250*H250,2)</f>
        <v>0</v>
      </c>
      <c r="J250" s="169">
        <v>0</v>
      </c>
      <c r="K250" s="167">
        <f>G250*J250</f>
        <v>0</v>
      </c>
      <c r="L250" s="169">
        <v>0.046</v>
      </c>
      <c r="M250" s="167">
        <f>G250*L250</f>
        <v>3.3855999999999997</v>
      </c>
      <c r="N250" s="170">
        <v>15</v>
      </c>
      <c r="O250" s="171">
        <v>4</v>
      </c>
      <c r="P250" s="14" t="s">
        <v>115</v>
      </c>
    </row>
    <row r="251" spans="4:19" s="14" customFormat="1" ht="15.75" customHeight="1" hidden="1" outlineLevel="1">
      <c r="D251" s="172"/>
      <c r="E251" s="173" t="s">
        <v>1378</v>
      </c>
      <c r="G251" s="174">
        <f>147.2/2</f>
        <v>73.6</v>
      </c>
      <c r="P251" s="172" t="s">
        <v>115</v>
      </c>
      <c r="Q251" s="172" t="s">
        <v>115</v>
      </c>
      <c r="R251" s="172" t="s">
        <v>116</v>
      </c>
      <c r="S251" s="172" t="s">
        <v>106</v>
      </c>
    </row>
    <row r="252" spans="1:16" s="284" customFormat="1" ht="13.5" customHeight="1">
      <c r="A252" s="278" t="s">
        <v>374</v>
      </c>
      <c r="B252" s="278" t="s">
        <v>110</v>
      </c>
      <c r="C252" s="278" t="s">
        <v>332</v>
      </c>
      <c r="D252" s="279" t="s">
        <v>1469</v>
      </c>
      <c r="E252" s="276" t="s">
        <v>1470</v>
      </c>
      <c r="F252" s="278" t="s">
        <v>167</v>
      </c>
      <c r="G252" s="271">
        <v>1</v>
      </c>
      <c r="H252" s="369"/>
      <c r="I252" s="280">
        <f>ROUND(G252*H252,2)</f>
        <v>0</v>
      </c>
      <c r="J252" s="281">
        <v>0</v>
      </c>
      <c r="K252" s="271">
        <f>G252*J252</f>
        <v>0</v>
      </c>
      <c r="L252" s="281">
        <v>0.046</v>
      </c>
      <c r="M252" s="271">
        <f>G252*L252</f>
        <v>0.046</v>
      </c>
      <c r="N252" s="282">
        <v>15</v>
      </c>
      <c r="O252" s="283">
        <v>4</v>
      </c>
      <c r="P252" s="284" t="s">
        <v>115</v>
      </c>
    </row>
    <row r="253" spans="2:16" s="133" customFormat="1" ht="12.75" customHeight="1">
      <c r="B253" s="142" t="s">
        <v>63</v>
      </c>
      <c r="D253" s="143" t="s">
        <v>377</v>
      </c>
      <c r="E253" s="143" t="s">
        <v>378</v>
      </c>
      <c r="I253" s="144">
        <f>SUM(I254:I265)</f>
        <v>0</v>
      </c>
      <c r="K253" s="145">
        <f>SUM(K254:K265)</f>
        <v>0</v>
      </c>
      <c r="M253" s="145">
        <f>SUM(M254:M265)</f>
        <v>0</v>
      </c>
      <c r="P253" s="143" t="s">
        <v>115</v>
      </c>
    </row>
    <row r="254" spans="1:16" s="14" customFormat="1" ht="24" customHeight="1">
      <c r="A254" s="164" t="s">
        <v>379</v>
      </c>
      <c r="B254" s="164" t="s">
        <v>110</v>
      </c>
      <c r="C254" s="164" t="s">
        <v>332</v>
      </c>
      <c r="D254" s="165" t="s">
        <v>380</v>
      </c>
      <c r="E254" s="166" t="s">
        <v>381</v>
      </c>
      <c r="F254" s="164" t="s">
        <v>156</v>
      </c>
      <c r="G254" s="167">
        <v>200.2</v>
      </c>
      <c r="H254" s="367"/>
      <c r="I254" s="168">
        <f>ROUND(G254*H254,2)</f>
        <v>0</v>
      </c>
      <c r="J254" s="169">
        <v>0</v>
      </c>
      <c r="K254" s="167">
        <f>G254*J254</f>
        <v>0</v>
      </c>
      <c r="L254" s="169">
        <v>0</v>
      </c>
      <c r="M254" s="167">
        <f>G254*L254</f>
        <v>0</v>
      </c>
      <c r="N254" s="170">
        <v>15</v>
      </c>
      <c r="O254" s="171">
        <v>4</v>
      </c>
      <c r="P254" s="14" t="s">
        <v>107</v>
      </c>
    </row>
    <row r="255" spans="1:16" s="14" customFormat="1" ht="13.5" customHeight="1">
      <c r="A255" s="164" t="s">
        <v>382</v>
      </c>
      <c r="B255" s="164" t="s">
        <v>110</v>
      </c>
      <c r="C255" s="164" t="s">
        <v>332</v>
      </c>
      <c r="D255" s="165" t="s">
        <v>383</v>
      </c>
      <c r="E255" s="166" t="s">
        <v>384</v>
      </c>
      <c r="F255" s="164" t="s">
        <v>385</v>
      </c>
      <c r="G255" s="167">
        <v>11</v>
      </c>
      <c r="H255" s="367"/>
      <c r="I255" s="168">
        <f>ROUND(G255*H255,2)</f>
        <v>0</v>
      </c>
      <c r="J255" s="169">
        <v>0</v>
      </c>
      <c r="K255" s="167">
        <f>G255*J255</f>
        <v>0</v>
      </c>
      <c r="L255" s="169">
        <v>0</v>
      </c>
      <c r="M255" s="167">
        <f>G255*L255</f>
        <v>0</v>
      </c>
      <c r="N255" s="170">
        <v>15</v>
      </c>
      <c r="O255" s="171">
        <v>4</v>
      </c>
      <c r="P255" s="14" t="s">
        <v>107</v>
      </c>
    </row>
    <row r="256" spans="1:16" s="14" customFormat="1" ht="13.5" customHeight="1" collapsed="1">
      <c r="A256" s="164" t="s">
        <v>386</v>
      </c>
      <c r="B256" s="164" t="s">
        <v>110</v>
      </c>
      <c r="C256" s="164" t="s">
        <v>332</v>
      </c>
      <c r="D256" s="165" t="s">
        <v>387</v>
      </c>
      <c r="E256" s="166" t="s">
        <v>388</v>
      </c>
      <c r="F256" s="164" t="s">
        <v>385</v>
      </c>
      <c r="G256" s="167">
        <v>330</v>
      </c>
      <c r="H256" s="367"/>
      <c r="I256" s="168">
        <f>ROUND(G256*H256,2)</f>
        <v>0</v>
      </c>
      <c r="J256" s="169">
        <v>0</v>
      </c>
      <c r="K256" s="167">
        <f>G256*J256</f>
        <v>0</v>
      </c>
      <c r="L256" s="169">
        <v>0</v>
      </c>
      <c r="M256" s="167">
        <f>G256*L256</f>
        <v>0</v>
      </c>
      <c r="N256" s="170">
        <v>15</v>
      </c>
      <c r="O256" s="171">
        <v>4</v>
      </c>
      <c r="P256" s="14" t="s">
        <v>107</v>
      </c>
    </row>
    <row r="257" spans="4:19" s="14" customFormat="1" ht="15.75" customHeight="1" hidden="1" outlineLevel="1">
      <c r="D257" s="172"/>
      <c r="E257" s="173" t="s">
        <v>1379</v>
      </c>
      <c r="G257" s="174">
        <v>330</v>
      </c>
      <c r="P257" s="172" t="s">
        <v>107</v>
      </c>
      <c r="Q257" s="172" t="s">
        <v>115</v>
      </c>
      <c r="R257" s="172" t="s">
        <v>116</v>
      </c>
      <c r="S257" s="172" t="s">
        <v>109</v>
      </c>
    </row>
    <row r="258" spans="1:16" s="14" customFormat="1" ht="24" customHeight="1">
      <c r="A258" s="164" t="s">
        <v>389</v>
      </c>
      <c r="B258" s="164" t="s">
        <v>110</v>
      </c>
      <c r="C258" s="164" t="s">
        <v>332</v>
      </c>
      <c r="D258" s="165" t="s">
        <v>390</v>
      </c>
      <c r="E258" s="166" t="s">
        <v>391</v>
      </c>
      <c r="F258" s="164" t="s">
        <v>156</v>
      </c>
      <c r="G258" s="167">
        <v>200.2</v>
      </c>
      <c r="H258" s="367"/>
      <c r="I258" s="168">
        <f>ROUND(G258*H258,2)</f>
        <v>0</v>
      </c>
      <c r="J258" s="169">
        <v>0</v>
      </c>
      <c r="K258" s="167">
        <f>G258*J258</f>
        <v>0</v>
      </c>
      <c r="L258" s="169">
        <v>0</v>
      </c>
      <c r="M258" s="167">
        <f>G258*L258</f>
        <v>0</v>
      </c>
      <c r="N258" s="170">
        <v>15</v>
      </c>
      <c r="O258" s="171">
        <v>4</v>
      </c>
      <c r="P258" s="14" t="s">
        <v>107</v>
      </c>
    </row>
    <row r="259" spans="1:16" s="14" customFormat="1" ht="13.5" customHeight="1" collapsed="1">
      <c r="A259" s="164" t="s">
        <v>392</v>
      </c>
      <c r="B259" s="164" t="s">
        <v>110</v>
      </c>
      <c r="C259" s="164" t="s">
        <v>332</v>
      </c>
      <c r="D259" s="165" t="s">
        <v>393</v>
      </c>
      <c r="E259" s="166" t="s">
        <v>394</v>
      </c>
      <c r="F259" s="164" t="s">
        <v>156</v>
      </c>
      <c r="G259" s="167">
        <f>G260</f>
        <v>1801.8</v>
      </c>
      <c r="H259" s="367"/>
      <c r="I259" s="168">
        <f>ROUND(G259*H259,2)</f>
        <v>0</v>
      </c>
      <c r="J259" s="169">
        <v>0</v>
      </c>
      <c r="K259" s="167">
        <f>G259*J259</f>
        <v>0</v>
      </c>
      <c r="L259" s="169">
        <v>0</v>
      </c>
      <c r="M259" s="167">
        <f>G259*L259</f>
        <v>0</v>
      </c>
      <c r="N259" s="170">
        <v>15</v>
      </c>
      <c r="O259" s="171">
        <v>4</v>
      </c>
      <c r="P259" s="14" t="s">
        <v>107</v>
      </c>
    </row>
    <row r="260" spans="4:19" s="14" customFormat="1" ht="15.75" customHeight="1" hidden="1" outlineLevel="1">
      <c r="D260" s="172"/>
      <c r="E260" s="173" t="s">
        <v>1380</v>
      </c>
      <c r="G260" s="174">
        <f>(200.2*9)</f>
        <v>1801.8</v>
      </c>
      <c r="P260" s="172" t="s">
        <v>107</v>
      </c>
      <c r="Q260" s="172" t="s">
        <v>115</v>
      </c>
      <c r="R260" s="172" t="s">
        <v>116</v>
      </c>
      <c r="S260" s="172" t="s">
        <v>106</v>
      </c>
    </row>
    <row r="261" spans="1:16" s="14" customFormat="1" ht="24" customHeight="1" collapsed="1">
      <c r="A261" s="164" t="s">
        <v>395</v>
      </c>
      <c r="B261" s="164" t="s">
        <v>110</v>
      </c>
      <c r="C261" s="164" t="s">
        <v>332</v>
      </c>
      <c r="D261" s="165" t="s">
        <v>396</v>
      </c>
      <c r="E261" s="166" t="s">
        <v>397</v>
      </c>
      <c r="F261" s="164" t="s">
        <v>156</v>
      </c>
      <c r="G261" s="167">
        <f>G262</f>
        <v>206.281</v>
      </c>
      <c r="H261" s="367"/>
      <c r="I261" s="168">
        <f>ROUND(G261*H261,2)</f>
        <v>0</v>
      </c>
      <c r="J261" s="169">
        <v>0</v>
      </c>
      <c r="K261" s="167">
        <f>G261*J261</f>
        <v>0</v>
      </c>
      <c r="L261" s="169">
        <v>0</v>
      </c>
      <c r="M261" s="167">
        <f>G261*L261</f>
        <v>0</v>
      </c>
      <c r="N261" s="170">
        <v>15</v>
      </c>
      <c r="O261" s="171">
        <v>4</v>
      </c>
      <c r="P261" s="14" t="s">
        <v>107</v>
      </c>
    </row>
    <row r="262" spans="4:19" s="14" customFormat="1" ht="15.75" customHeight="1" hidden="1" outlineLevel="1">
      <c r="D262" s="172"/>
      <c r="E262" s="173" t="s">
        <v>1381</v>
      </c>
      <c r="G262" s="174">
        <f>(418.14-5.578)/2</f>
        <v>206.281</v>
      </c>
      <c r="P262" s="172" t="s">
        <v>107</v>
      </c>
      <c r="Q262" s="172" t="s">
        <v>115</v>
      </c>
      <c r="R262" s="172" t="s">
        <v>116</v>
      </c>
      <c r="S262" s="172" t="s">
        <v>109</v>
      </c>
    </row>
    <row r="263" spans="1:16" s="14" customFormat="1" ht="13.5" customHeight="1">
      <c r="A263" s="164" t="s">
        <v>398</v>
      </c>
      <c r="B263" s="164" t="s">
        <v>110</v>
      </c>
      <c r="C263" s="164" t="s">
        <v>332</v>
      </c>
      <c r="D263" s="165" t="s">
        <v>399</v>
      </c>
      <c r="E263" s="166" t="s">
        <v>400</v>
      </c>
      <c r="F263" s="164" t="s">
        <v>156</v>
      </c>
      <c r="G263" s="167">
        <f>5.578/2</f>
        <v>2.789</v>
      </c>
      <c r="H263" s="367"/>
      <c r="I263" s="168">
        <f>ROUND(G263*H263,2)</f>
        <v>0</v>
      </c>
      <c r="J263" s="169">
        <v>0</v>
      </c>
      <c r="K263" s="167">
        <f>G263*J263</f>
        <v>0</v>
      </c>
      <c r="L263" s="169">
        <v>0</v>
      </c>
      <c r="M263" s="167">
        <f>G263*L263</f>
        <v>0</v>
      </c>
      <c r="N263" s="170">
        <v>15</v>
      </c>
      <c r="O263" s="171">
        <v>4</v>
      </c>
      <c r="P263" s="14" t="s">
        <v>107</v>
      </c>
    </row>
    <row r="264" spans="1:16" s="14" customFormat="1" ht="13.5" customHeight="1">
      <c r="A264" s="164" t="s">
        <v>401</v>
      </c>
      <c r="B264" s="164" t="s">
        <v>110</v>
      </c>
      <c r="C264" s="164" t="s">
        <v>119</v>
      </c>
      <c r="D264" s="165" t="s">
        <v>402</v>
      </c>
      <c r="E264" s="166" t="s">
        <v>403</v>
      </c>
      <c r="F264" s="164" t="s">
        <v>156</v>
      </c>
      <c r="G264" s="167">
        <f>255.192/2</f>
        <v>127.596</v>
      </c>
      <c r="H264" s="367"/>
      <c r="I264" s="168">
        <f>ROUND(G264*H264,2)</f>
        <v>0</v>
      </c>
      <c r="J264" s="169">
        <v>0</v>
      </c>
      <c r="K264" s="167">
        <f>G264*J264</f>
        <v>0</v>
      </c>
      <c r="L264" s="169">
        <v>0</v>
      </c>
      <c r="M264" s="167">
        <f>G264*L264</f>
        <v>0</v>
      </c>
      <c r="N264" s="170">
        <v>15</v>
      </c>
      <c r="O264" s="171">
        <v>4</v>
      </c>
      <c r="P264" s="14" t="s">
        <v>107</v>
      </c>
    </row>
    <row r="265" spans="1:16" s="14" customFormat="1" ht="13.5" customHeight="1">
      <c r="A265" s="179" t="s">
        <v>404</v>
      </c>
      <c r="B265" s="179" t="s">
        <v>146</v>
      </c>
      <c r="C265" s="179" t="s">
        <v>147</v>
      </c>
      <c r="D265" s="180" t="s">
        <v>405</v>
      </c>
      <c r="E265" s="181" t="s">
        <v>406</v>
      </c>
      <c r="F265" s="179" t="s">
        <v>167</v>
      </c>
      <c r="G265" s="182">
        <v>0.5</v>
      </c>
      <c r="H265" s="368"/>
      <c r="I265" s="183">
        <f>ROUND(G265*H265,2)</f>
        <v>0</v>
      </c>
      <c r="J265" s="184">
        <v>0</v>
      </c>
      <c r="K265" s="182">
        <f>G265*J265</f>
        <v>0</v>
      </c>
      <c r="L265" s="184">
        <v>0</v>
      </c>
      <c r="M265" s="182">
        <f>G265*L265</f>
        <v>0</v>
      </c>
      <c r="N265" s="185">
        <v>15</v>
      </c>
      <c r="O265" s="186">
        <v>8</v>
      </c>
      <c r="P265" s="187" t="s">
        <v>107</v>
      </c>
    </row>
    <row r="266" spans="2:16" s="133" customFormat="1" ht="12.75" customHeight="1">
      <c r="B266" s="134" t="s">
        <v>63</v>
      </c>
      <c r="D266" s="135" t="s">
        <v>50</v>
      </c>
      <c r="E266" s="135" t="s">
        <v>407</v>
      </c>
      <c r="I266" s="136">
        <f>I267+I279+I283+I330+I335+I338+I341+I344+I362+I412+I444+I469+I484+I524+I532+I544+I562+I570+I591</f>
        <v>0</v>
      </c>
      <c r="K266" s="137">
        <f>K267+K279+K283+K330+K335+K338+K341+K344+K362+K412+K444+K469+K484+K524+K532+K544+K562+K570+K591</f>
        <v>34.5818765143</v>
      </c>
      <c r="M266" s="137">
        <f>M267+M279+M283+M330+M335+M338+M341+M344+M362+M412+M444+M469+M484+M524+M532+M544+M562+M570+M591</f>
        <v>10.82541385</v>
      </c>
      <c r="P266" s="135" t="s">
        <v>106</v>
      </c>
    </row>
    <row r="267" spans="2:16" s="133" customFormat="1" ht="12.75" customHeight="1">
      <c r="B267" s="138" t="s">
        <v>63</v>
      </c>
      <c r="D267" s="139" t="s">
        <v>408</v>
      </c>
      <c r="E267" s="139" t="s">
        <v>409</v>
      </c>
      <c r="I267" s="140">
        <f>SUM(I268:I278)</f>
        <v>0</v>
      </c>
      <c r="K267" s="141">
        <f>SUM(K268:K278)</f>
        <v>0.13425099999999998</v>
      </c>
      <c r="M267" s="141">
        <f>SUM(M268:M278)</f>
        <v>0</v>
      </c>
      <c r="P267" s="139" t="s">
        <v>109</v>
      </c>
    </row>
    <row r="268" spans="1:16" s="14" customFormat="1" ht="24" customHeight="1" collapsed="1">
      <c r="A268" s="164" t="s">
        <v>410</v>
      </c>
      <c r="B268" s="164" t="s">
        <v>110</v>
      </c>
      <c r="C268" s="164" t="s">
        <v>408</v>
      </c>
      <c r="D268" s="165" t="s">
        <v>411</v>
      </c>
      <c r="E268" s="166" t="s">
        <v>412</v>
      </c>
      <c r="F268" s="164" t="s">
        <v>124</v>
      </c>
      <c r="G268" s="167">
        <f>G269</f>
        <v>111.97</v>
      </c>
      <c r="H268" s="367"/>
      <c r="I268" s="168">
        <f>ROUND(G268*H268,2)</f>
        <v>0</v>
      </c>
      <c r="J268" s="169">
        <v>0</v>
      </c>
      <c r="K268" s="167">
        <f>G268*J268</f>
        <v>0</v>
      </c>
      <c r="L268" s="169">
        <v>0</v>
      </c>
      <c r="M268" s="167">
        <f>G268*L268</f>
        <v>0</v>
      </c>
      <c r="N268" s="170">
        <v>15</v>
      </c>
      <c r="O268" s="171">
        <v>16</v>
      </c>
      <c r="P268" s="14" t="s">
        <v>115</v>
      </c>
    </row>
    <row r="269" spans="4:19" s="14" customFormat="1" ht="15.75" customHeight="1" hidden="1" outlineLevel="1">
      <c r="D269" s="172"/>
      <c r="E269" s="173" t="s">
        <v>413</v>
      </c>
      <c r="G269" s="174">
        <f>G558+G539+G559</f>
        <v>111.97</v>
      </c>
      <c r="P269" s="172" t="s">
        <v>115</v>
      </c>
      <c r="Q269" s="172" t="s">
        <v>115</v>
      </c>
      <c r="R269" s="172" t="s">
        <v>116</v>
      </c>
      <c r="S269" s="172" t="s">
        <v>106</v>
      </c>
    </row>
    <row r="270" spans="1:16" s="14" customFormat="1" ht="13.5" customHeight="1">
      <c r="A270" s="179" t="s">
        <v>414</v>
      </c>
      <c r="B270" s="179" t="s">
        <v>146</v>
      </c>
      <c r="C270" s="179" t="s">
        <v>147</v>
      </c>
      <c r="D270" s="180" t="s">
        <v>415</v>
      </c>
      <c r="E270" s="181" t="s">
        <v>1560</v>
      </c>
      <c r="F270" s="179" t="s">
        <v>156</v>
      </c>
      <c r="G270" s="182">
        <f>G268*0.0003</f>
        <v>0.033590999999999996</v>
      </c>
      <c r="H270" s="368"/>
      <c r="I270" s="183">
        <f>ROUND(G270*H270,2)</f>
        <v>0</v>
      </c>
      <c r="J270" s="184">
        <v>1</v>
      </c>
      <c r="K270" s="182">
        <f>G270*J270</f>
        <v>0.033590999999999996</v>
      </c>
      <c r="L270" s="184">
        <v>0</v>
      </c>
      <c r="M270" s="182">
        <f>G270*L270</f>
        <v>0</v>
      </c>
      <c r="N270" s="185">
        <v>15</v>
      </c>
      <c r="O270" s="186">
        <v>32</v>
      </c>
      <c r="P270" s="187" t="s">
        <v>115</v>
      </c>
    </row>
    <row r="271" spans="1:16" s="14" customFormat="1" ht="13.5" customHeight="1" collapsed="1">
      <c r="A271" s="164" t="s">
        <v>416</v>
      </c>
      <c r="B271" s="164" t="s">
        <v>110</v>
      </c>
      <c r="C271" s="164" t="s">
        <v>408</v>
      </c>
      <c r="D271" s="165" t="s">
        <v>417</v>
      </c>
      <c r="E271" s="276" t="s">
        <v>1561</v>
      </c>
      <c r="F271" s="164" t="s">
        <v>124</v>
      </c>
      <c r="G271" s="167">
        <f>G272</f>
        <v>16.77</v>
      </c>
      <c r="H271" s="367"/>
      <c r="I271" s="168">
        <f>ROUND(G271*H271,2)</f>
        <v>0</v>
      </c>
      <c r="J271" s="169">
        <v>0.0035</v>
      </c>
      <c r="K271" s="167">
        <f>G271*J271</f>
        <v>0.058695</v>
      </c>
      <c r="L271" s="169">
        <v>0</v>
      </c>
      <c r="M271" s="167">
        <f>G271*L271</f>
        <v>0</v>
      </c>
      <c r="N271" s="170">
        <v>15</v>
      </c>
      <c r="O271" s="171">
        <v>16</v>
      </c>
      <c r="P271" s="14" t="s">
        <v>115</v>
      </c>
    </row>
    <row r="272" spans="4:19" s="14" customFormat="1" ht="15.75" customHeight="1" hidden="1" outlineLevel="1">
      <c r="D272" s="172"/>
      <c r="E272" s="173" t="s">
        <v>418</v>
      </c>
      <c r="G272" s="174">
        <f>G538+G539</f>
        <v>16.77</v>
      </c>
      <c r="P272" s="172" t="s">
        <v>115</v>
      </c>
      <c r="Q272" s="172" t="s">
        <v>115</v>
      </c>
      <c r="R272" s="172" t="s">
        <v>116</v>
      </c>
      <c r="S272" s="172" t="s">
        <v>106</v>
      </c>
    </row>
    <row r="273" spans="1:16" s="14" customFormat="1" ht="13.5" customHeight="1" collapsed="1">
      <c r="A273" s="164" t="s">
        <v>419</v>
      </c>
      <c r="B273" s="164" t="s">
        <v>110</v>
      </c>
      <c r="C273" s="164" t="s">
        <v>408</v>
      </c>
      <c r="D273" s="165" t="s">
        <v>420</v>
      </c>
      <c r="E273" s="276" t="s">
        <v>1562</v>
      </c>
      <c r="F273" s="164" t="s">
        <v>124</v>
      </c>
      <c r="G273" s="167">
        <f>SUM(G274:G277)</f>
        <v>11.989999999999998</v>
      </c>
      <c r="H273" s="367"/>
      <c r="I273" s="168">
        <f>ROUND(G273*H273,2)</f>
        <v>0</v>
      </c>
      <c r="J273" s="169">
        <v>0.0035</v>
      </c>
      <c r="K273" s="167">
        <f>G273*J273</f>
        <v>0.041964999999999995</v>
      </c>
      <c r="L273" s="169">
        <v>0</v>
      </c>
      <c r="M273" s="167">
        <f>G273*L273</f>
        <v>0</v>
      </c>
      <c r="N273" s="170">
        <v>15</v>
      </c>
      <c r="O273" s="171">
        <v>16</v>
      </c>
      <c r="P273" s="14" t="s">
        <v>115</v>
      </c>
    </row>
    <row r="274" spans="4:19" s="14" customFormat="1" ht="15.75" customHeight="1" hidden="1" outlineLevel="1">
      <c r="D274" s="172"/>
      <c r="E274" s="173" t="s">
        <v>421</v>
      </c>
      <c r="G274" s="174">
        <v>0.74</v>
      </c>
      <c r="P274" s="172" t="s">
        <v>115</v>
      </c>
      <c r="Q274" s="172" t="s">
        <v>115</v>
      </c>
      <c r="R274" s="172" t="s">
        <v>116</v>
      </c>
      <c r="S274" s="172" t="s">
        <v>106</v>
      </c>
    </row>
    <row r="275" spans="4:19" s="14" customFormat="1" ht="15.75" customHeight="1" hidden="1" outlineLevel="1">
      <c r="D275" s="172"/>
      <c r="E275" s="173" t="s">
        <v>422</v>
      </c>
      <c r="G275" s="174">
        <v>1.64</v>
      </c>
      <c r="P275" s="172" t="s">
        <v>115</v>
      </c>
      <c r="Q275" s="172" t="s">
        <v>115</v>
      </c>
      <c r="R275" s="172" t="s">
        <v>116</v>
      </c>
      <c r="S275" s="172" t="s">
        <v>106</v>
      </c>
    </row>
    <row r="276" spans="4:19" s="14" customFormat="1" ht="15.75" customHeight="1" hidden="1" outlineLevel="1">
      <c r="D276" s="172"/>
      <c r="E276" s="173" t="s">
        <v>423</v>
      </c>
      <c r="G276" s="174">
        <v>8.552</v>
      </c>
      <c r="P276" s="172" t="s">
        <v>115</v>
      </c>
      <c r="Q276" s="172" t="s">
        <v>115</v>
      </c>
      <c r="R276" s="172" t="s">
        <v>116</v>
      </c>
      <c r="S276" s="172" t="s">
        <v>106</v>
      </c>
    </row>
    <row r="277" spans="4:19" s="14" customFormat="1" ht="15.75" customHeight="1" hidden="1" outlineLevel="1">
      <c r="D277" s="172"/>
      <c r="E277" s="173" t="s">
        <v>424</v>
      </c>
      <c r="G277" s="174">
        <v>1.058</v>
      </c>
      <c r="P277" s="172" t="s">
        <v>115</v>
      </c>
      <c r="Q277" s="172" t="s">
        <v>115</v>
      </c>
      <c r="R277" s="172" t="s">
        <v>116</v>
      </c>
      <c r="S277" s="172" t="s">
        <v>106</v>
      </c>
    </row>
    <row r="278" spans="1:16" s="14" customFormat="1" ht="24" customHeight="1">
      <c r="A278" s="164" t="s">
        <v>425</v>
      </c>
      <c r="B278" s="164" t="s">
        <v>110</v>
      </c>
      <c r="C278" s="164" t="s">
        <v>408</v>
      </c>
      <c r="D278" s="165" t="s">
        <v>426</v>
      </c>
      <c r="E278" s="166" t="s">
        <v>427</v>
      </c>
      <c r="F278" s="164" t="s">
        <v>46</v>
      </c>
      <c r="G278" s="370">
        <f>SUBTOTAL(9,I268:I277)/100</f>
        <v>0</v>
      </c>
      <c r="H278" s="367"/>
      <c r="I278" s="168">
        <f>ROUND(G278*H278,2)</f>
        <v>0</v>
      </c>
      <c r="J278" s="169">
        <v>0</v>
      </c>
      <c r="K278" s="167">
        <f>G278*J278</f>
        <v>0</v>
      </c>
      <c r="L278" s="169">
        <v>0</v>
      </c>
      <c r="M278" s="167">
        <f>G278*L278</f>
        <v>0</v>
      </c>
      <c r="N278" s="170">
        <v>15</v>
      </c>
      <c r="O278" s="171">
        <v>16</v>
      </c>
      <c r="P278" s="14" t="s">
        <v>115</v>
      </c>
    </row>
    <row r="279" spans="2:16" s="133" customFormat="1" ht="12.75" customHeight="1">
      <c r="B279" s="138" t="s">
        <v>63</v>
      </c>
      <c r="D279" s="139" t="s">
        <v>428</v>
      </c>
      <c r="E279" s="139" t="s">
        <v>429</v>
      </c>
      <c r="I279" s="140">
        <f>SUM(I280:I282)</f>
        <v>0</v>
      </c>
      <c r="K279" s="141">
        <f>SUM(K280:K282)</f>
        <v>0</v>
      </c>
      <c r="M279" s="141">
        <f>SUM(M280:M282)</f>
        <v>0.8640000000000001</v>
      </c>
      <c r="P279" s="139" t="s">
        <v>109</v>
      </c>
    </row>
    <row r="280" spans="1:16" s="14" customFormat="1" ht="13.5" customHeight="1" collapsed="1">
      <c r="A280" s="164" t="s">
        <v>430</v>
      </c>
      <c r="B280" s="164" t="s">
        <v>110</v>
      </c>
      <c r="C280" s="164" t="s">
        <v>428</v>
      </c>
      <c r="D280" s="165" t="s">
        <v>431</v>
      </c>
      <c r="E280" s="166" t="s">
        <v>432</v>
      </c>
      <c r="F280" s="164" t="s">
        <v>124</v>
      </c>
      <c r="G280" s="167">
        <f>G281</f>
        <v>86.4</v>
      </c>
      <c r="H280" s="367"/>
      <c r="I280" s="168">
        <f>ROUND(G280*H280,2)</f>
        <v>0</v>
      </c>
      <c r="J280" s="169">
        <v>0</v>
      </c>
      <c r="K280" s="167">
        <f>G280*J280</f>
        <v>0</v>
      </c>
      <c r="L280" s="169">
        <v>0.01</v>
      </c>
      <c r="M280" s="167">
        <f>G280*L280</f>
        <v>0.8640000000000001</v>
      </c>
      <c r="N280" s="170">
        <v>15</v>
      </c>
      <c r="O280" s="171">
        <v>16</v>
      </c>
      <c r="P280" s="14" t="s">
        <v>115</v>
      </c>
    </row>
    <row r="281" spans="4:19" s="14" customFormat="1" ht="15.75" customHeight="1" hidden="1" outlineLevel="1">
      <c r="D281" s="172"/>
      <c r="E281" s="173" t="s">
        <v>1382</v>
      </c>
      <c r="G281" s="174">
        <f>(14.4*5.75+6.6*4*2+9.3*4)/2</f>
        <v>86.4</v>
      </c>
      <c r="P281" s="172" t="s">
        <v>115</v>
      </c>
      <c r="Q281" s="172" t="s">
        <v>115</v>
      </c>
      <c r="R281" s="172" t="s">
        <v>116</v>
      </c>
      <c r="S281" s="172" t="s">
        <v>106</v>
      </c>
    </row>
    <row r="282" spans="1:16" s="14" customFormat="1" ht="13.5" customHeight="1">
      <c r="A282" s="164" t="s">
        <v>433</v>
      </c>
      <c r="B282" s="164" t="s">
        <v>110</v>
      </c>
      <c r="C282" s="164" t="s">
        <v>428</v>
      </c>
      <c r="D282" s="165" t="s">
        <v>434</v>
      </c>
      <c r="E282" s="166" t="s">
        <v>435</v>
      </c>
      <c r="F282" s="164" t="s">
        <v>46</v>
      </c>
      <c r="G282" s="370">
        <f>SUBTOTAL(9,I280)/100</f>
        <v>0</v>
      </c>
      <c r="H282" s="367"/>
      <c r="I282" s="168">
        <f>ROUND(G282*H282,2)</f>
        <v>0</v>
      </c>
      <c r="J282" s="169">
        <v>0</v>
      </c>
      <c r="K282" s="167">
        <f>G282*J282</f>
        <v>0</v>
      </c>
      <c r="L282" s="169">
        <v>0</v>
      </c>
      <c r="M282" s="167">
        <f>G282*L282</f>
        <v>0</v>
      </c>
      <c r="N282" s="170">
        <v>15</v>
      </c>
      <c r="O282" s="171">
        <v>16</v>
      </c>
      <c r="P282" s="14" t="s">
        <v>115</v>
      </c>
    </row>
    <row r="283" spans="2:16" s="133" customFormat="1" ht="12.75" customHeight="1">
      <c r="B283" s="138" t="s">
        <v>63</v>
      </c>
      <c r="D283" s="139" t="s">
        <v>436</v>
      </c>
      <c r="E283" s="139" t="s">
        <v>437</v>
      </c>
      <c r="I283" s="140">
        <f>SUM(I284:I329)</f>
        <v>0</v>
      </c>
      <c r="K283" s="141">
        <f>SUM(K284:K329)</f>
        <v>1.7218467246000002</v>
      </c>
      <c r="M283" s="141">
        <f>SUM(M284:M329)</f>
        <v>0</v>
      </c>
      <c r="P283" s="139" t="s">
        <v>109</v>
      </c>
    </row>
    <row r="284" spans="1:16" s="14" customFormat="1" ht="24" customHeight="1" collapsed="1">
      <c r="A284" s="164" t="s">
        <v>438</v>
      </c>
      <c r="B284" s="164" t="s">
        <v>110</v>
      </c>
      <c r="C284" s="164" t="s">
        <v>436</v>
      </c>
      <c r="D284" s="165" t="s">
        <v>439</v>
      </c>
      <c r="E284" s="166" t="s">
        <v>440</v>
      </c>
      <c r="F284" s="164" t="s">
        <v>124</v>
      </c>
      <c r="G284" s="167">
        <f>G285</f>
        <v>111.97</v>
      </c>
      <c r="H284" s="367"/>
      <c r="I284" s="168">
        <f>ROUND(G284*H284,2)</f>
        <v>0</v>
      </c>
      <c r="J284" s="169">
        <v>0</v>
      </c>
      <c r="K284" s="167">
        <f>G284*J284</f>
        <v>0</v>
      </c>
      <c r="L284" s="169">
        <v>0</v>
      </c>
      <c r="M284" s="167">
        <f>G284*L284</f>
        <v>0</v>
      </c>
      <c r="N284" s="170">
        <v>15</v>
      </c>
      <c r="O284" s="171">
        <v>16</v>
      </c>
      <c r="P284" s="14" t="s">
        <v>115</v>
      </c>
    </row>
    <row r="285" spans="4:19" s="14" customFormat="1" ht="15.75" customHeight="1" hidden="1" outlineLevel="1">
      <c r="D285" s="172"/>
      <c r="E285" s="173" t="s">
        <v>441</v>
      </c>
      <c r="G285" s="174">
        <f>G558+G539+G559</f>
        <v>111.97</v>
      </c>
      <c r="P285" s="172" t="s">
        <v>115</v>
      </c>
      <c r="Q285" s="172" t="s">
        <v>115</v>
      </c>
      <c r="R285" s="172" t="s">
        <v>116</v>
      </c>
      <c r="S285" s="172" t="s">
        <v>109</v>
      </c>
    </row>
    <row r="286" spans="1:16" s="14" customFormat="1" ht="24" customHeight="1" collapsed="1">
      <c r="A286" s="164" t="s">
        <v>442</v>
      </c>
      <c r="B286" s="164" t="s">
        <v>110</v>
      </c>
      <c r="C286" s="164" t="s">
        <v>436</v>
      </c>
      <c r="D286" s="165" t="s">
        <v>443</v>
      </c>
      <c r="E286" s="166" t="s">
        <v>444</v>
      </c>
      <c r="F286" s="164" t="s">
        <v>124</v>
      </c>
      <c r="G286" s="167">
        <f>G287</f>
        <v>68.58</v>
      </c>
      <c r="H286" s="367"/>
      <c r="I286" s="168">
        <f>ROUND(G286*H286,2)</f>
        <v>0</v>
      </c>
      <c r="J286" s="169">
        <v>0</v>
      </c>
      <c r="K286" s="167">
        <f>G286*J286</f>
        <v>0</v>
      </c>
      <c r="L286" s="169">
        <v>0</v>
      </c>
      <c r="M286" s="167">
        <f>G286*L286</f>
        <v>0</v>
      </c>
      <c r="N286" s="170">
        <v>15</v>
      </c>
      <c r="O286" s="171">
        <v>16</v>
      </c>
      <c r="P286" s="14" t="s">
        <v>115</v>
      </c>
    </row>
    <row r="287" spans="4:19" s="14" customFormat="1" ht="15.75" customHeight="1" hidden="1" outlineLevel="1">
      <c r="D287" s="172"/>
      <c r="E287" s="173" t="s">
        <v>312</v>
      </c>
      <c r="G287" s="174">
        <f>G537+G538+G556+G557</f>
        <v>68.58</v>
      </c>
      <c r="P287" s="172" t="s">
        <v>115</v>
      </c>
      <c r="Q287" s="172" t="s">
        <v>115</v>
      </c>
      <c r="R287" s="172" t="s">
        <v>116</v>
      </c>
      <c r="S287" s="172" t="s">
        <v>106</v>
      </c>
    </row>
    <row r="288" spans="1:16" s="14" customFormat="1" ht="13.5" customHeight="1" collapsed="1">
      <c r="A288" s="179" t="s">
        <v>445</v>
      </c>
      <c r="B288" s="179" t="s">
        <v>146</v>
      </c>
      <c r="C288" s="179" t="s">
        <v>147</v>
      </c>
      <c r="D288" s="180" t="s">
        <v>446</v>
      </c>
      <c r="E288" s="181" t="s">
        <v>447</v>
      </c>
      <c r="F288" s="179" t="s">
        <v>124</v>
      </c>
      <c r="G288" s="182">
        <f>G289*1.05</f>
        <v>177.2085</v>
      </c>
      <c r="H288" s="368"/>
      <c r="I288" s="183">
        <f>ROUND(G288*H288,2)</f>
        <v>0</v>
      </c>
      <c r="J288" s="184">
        <v>0.00072</v>
      </c>
      <c r="K288" s="182">
        <f>G288*J288</f>
        <v>0.12759012</v>
      </c>
      <c r="L288" s="184">
        <v>0</v>
      </c>
      <c r="M288" s="182">
        <f>G288*L288</f>
        <v>0</v>
      </c>
      <c r="N288" s="185">
        <v>15</v>
      </c>
      <c r="O288" s="186">
        <v>32</v>
      </c>
      <c r="P288" s="187" t="s">
        <v>115</v>
      </c>
    </row>
    <row r="289" spans="4:19" s="14" customFormat="1" ht="15.75" customHeight="1" hidden="1" outlineLevel="1">
      <c r="D289" s="172"/>
      <c r="E289" s="173" t="s">
        <v>448</v>
      </c>
      <c r="G289" s="174">
        <f>G537+G538+G556+G557+G558+G559</f>
        <v>168.76999999999998</v>
      </c>
      <c r="P289" s="172" t="s">
        <v>115</v>
      </c>
      <c r="Q289" s="172" t="s">
        <v>115</v>
      </c>
      <c r="R289" s="172" t="s">
        <v>116</v>
      </c>
      <c r="S289" s="172" t="s">
        <v>106</v>
      </c>
    </row>
    <row r="290" spans="1:16" s="14" customFormat="1" ht="13.5" customHeight="1" collapsed="1">
      <c r="A290" s="179" t="s">
        <v>449</v>
      </c>
      <c r="B290" s="179" t="s">
        <v>146</v>
      </c>
      <c r="C290" s="179" t="s">
        <v>147</v>
      </c>
      <c r="D290" s="180" t="s">
        <v>450</v>
      </c>
      <c r="E290" s="181" t="s">
        <v>1488</v>
      </c>
      <c r="F290" s="179" t="s">
        <v>124</v>
      </c>
      <c r="G290" s="182">
        <f>G291*1.05</f>
        <v>12.369</v>
      </c>
      <c r="H290" s="368"/>
      <c r="I290" s="183">
        <f>ROUND(G290*H290,2)</f>
        <v>0</v>
      </c>
      <c r="J290" s="184">
        <v>0.003</v>
      </c>
      <c r="K290" s="182">
        <f>G290*J290</f>
        <v>0.037107</v>
      </c>
      <c r="L290" s="184">
        <v>0</v>
      </c>
      <c r="M290" s="182">
        <f>G290*L290</f>
        <v>0</v>
      </c>
      <c r="N290" s="185">
        <v>15</v>
      </c>
      <c r="O290" s="186">
        <v>32</v>
      </c>
      <c r="P290" s="187" t="s">
        <v>115</v>
      </c>
    </row>
    <row r="291" spans="4:19" s="14" customFormat="1" ht="15.75" customHeight="1" hidden="1" outlineLevel="1">
      <c r="D291" s="172"/>
      <c r="E291" s="173" t="s">
        <v>451</v>
      </c>
      <c r="G291" s="174">
        <f>G539</f>
        <v>11.78</v>
      </c>
      <c r="P291" s="172" t="s">
        <v>115</v>
      </c>
      <c r="Q291" s="172" t="s">
        <v>115</v>
      </c>
      <c r="R291" s="172" t="s">
        <v>116</v>
      </c>
      <c r="S291" s="172" t="s">
        <v>106</v>
      </c>
    </row>
    <row r="292" spans="1:16" s="14" customFormat="1" ht="13.5" customHeight="1" collapsed="1">
      <c r="A292" s="179" t="s">
        <v>452</v>
      </c>
      <c r="B292" s="179" t="s">
        <v>146</v>
      </c>
      <c r="C292" s="179" t="s">
        <v>147</v>
      </c>
      <c r="D292" s="180" t="s">
        <v>453</v>
      </c>
      <c r="E292" s="181" t="s">
        <v>454</v>
      </c>
      <c r="F292" s="179" t="s">
        <v>124</v>
      </c>
      <c r="G292" s="182">
        <f>G293*1.05</f>
        <v>72.009</v>
      </c>
      <c r="H292" s="368"/>
      <c r="I292" s="183">
        <f>ROUND(G292*H292,2)</f>
        <v>0</v>
      </c>
      <c r="J292" s="184">
        <v>0.0005</v>
      </c>
      <c r="K292" s="182">
        <f>G292*J292</f>
        <v>0.0360045</v>
      </c>
      <c r="L292" s="184">
        <v>0</v>
      </c>
      <c r="M292" s="182">
        <f>G292*L292</f>
        <v>0</v>
      </c>
      <c r="N292" s="185">
        <v>15</v>
      </c>
      <c r="O292" s="186">
        <v>32</v>
      </c>
      <c r="P292" s="187" t="s">
        <v>115</v>
      </c>
    </row>
    <row r="293" spans="4:19" s="14" customFormat="1" ht="15.75" customHeight="1" hidden="1" outlineLevel="1">
      <c r="D293" s="172"/>
      <c r="E293" s="173" t="s">
        <v>312</v>
      </c>
      <c r="G293" s="174">
        <f>G287</f>
        <v>68.58</v>
      </c>
      <c r="P293" s="172" t="s">
        <v>115</v>
      </c>
      <c r="Q293" s="172" t="s">
        <v>115</v>
      </c>
      <c r="R293" s="172" t="s">
        <v>116</v>
      </c>
      <c r="S293" s="172" t="s">
        <v>106</v>
      </c>
    </row>
    <row r="294" spans="1:16" s="14" customFormat="1" ht="24" customHeight="1" collapsed="1">
      <c r="A294" s="164" t="s">
        <v>455</v>
      </c>
      <c r="B294" s="164" t="s">
        <v>110</v>
      </c>
      <c r="C294" s="164" t="s">
        <v>436</v>
      </c>
      <c r="D294" s="165" t="s">
        <v>456</v>
      </c>
      <c r="E294" s="166" t="s">
        <v>457</v>
      </c>
      <c r="F294" s="164" t="s">
        <v>124</v>
      </c>
      <c r="G294" s="167">
        <f>SUM(G295:G304)</f>
        <v>66.90540000000001</v>
      </c>
      <c r="H294" s="367"/>
      <c r="I294" s="168">
        <f>ROUND(G294*H294,2)</f>
        <v>0</v>
      </c>
      <c r="J294" s="169">
        <v>0</v>
      </c>
      <c r="K294" s="167">
        <f>G294*J294</f>
        <v>0</v>
      </c>
      <c r="L294" s="169">
        <v>0</v>
      </c>
      <c r="M294" s="167">
        <f>G294*L294</f>
        <v>0</v>
      </c>
      <c r="N294" s="170">
        <v>15</v>
      </c>
      <c r="O294" s="171">
        <v>16</v>
      </c>
      <c r="P294" s="14" t="s">
        <v>115</v>
      </c>
    </row>
    <row r="295" spans="4:19" s="14" customFormat="1" ht="15.75" customHeight="1" hidden="1" outlineLevel="1">
      <c r="D295" s="175"/>
      <c r="E295" s="176" t="s">
        <v>458</v>
      </c>
      <c r="G295" s="177"/>
      <c r="P295" s="175" t="s">
        <v>115</v>
      </c>
      <c r="Q295" s="175" t="s">
        <v>109</v>
      </c>
      <c r="R295" s="175" t="s">
        <v>116</v>
      </c>
      <c r="S295" s="175" t="s">
        <v>106</v>
      </c>
    </row>
    <row r="296" spans="4:19" s="14" customFormat="1" ht="15.75" customHeight="1" hidden="1" outlineLevel="1">
      <c r="D296" s="172"/>
      <c r="E296" s="173" t="s">
        <v>1383</v>
      </c>
      <c r="G296" s="174">
        <f>(3.55)*2.85</f>
        <v>10.1175</v>
      </c>
      <c r="P296" s="172" t="s">
        <v>115</v>
      </c>
      <c r="Q296" s="172" t="s">
        <v>115</v>
      </c>
      <c r="R296" s="172" t="s">
        <v>116</v>
      </c>
      <c r="S296" s="172" t="s">
        <v>106</v>
      </c>
    </row>
    <row r="297" spans="4:19" s="14" customFormat="1" ht="15.75" customHeight="1" hidden="1" outlineLevel="1">
      <c r="D297" s="172"/>
      <c r="E297" s="173" t="s">
        <v>1327</v>
      </c>
      <c r="G297" s="174">
        <f>(0.9+0.55)*2.85</f>
        <v>4.1325</v>
      </c>
      <c r="P297" s="172" t="s">
        <v>115</v>
      </c>
      <c r="Q297" s="172" t="s">
        <v>115</v>
      </c>
      <c r="R297" s="172" t="s">
        <v>116</v>
      </c>
      <c r="S297" s="172" t="s">
        <v>106</v>
      </c>
    </row>
    <row r="298" spans="4:19" s="14" customFormat="1" ht="15.75" customHeight="1" hidden="1" outlineLevel="1">
      <c r="D298" s="172"/>
      <c r="E298" s="173" t="s">
        <v>1384</v>
      </c>
      <c r="G298" s="174">
        <f>(3.1)*2.85*2</f>
        <v>17.67</v>
      </c>
      <c r="P298" s="172" t="s">
        <v>115</v>
      </c>
      <c r="Q298" s="172" t="s">
        <v>115</v>
      </c>
      <c r="R298" s="172" t="s">
        <v>116</v>
      </c>
      <c r="S298" s="172" t="s">
        <v>106</v>
      </c>
    </row>
    <row r="299" spans="4:19" s="14" customFormat="1" ht="15.75" customHeight="1" hidden="1" outlineLevel="1">
      <c r="D299" s="175"/>
      <c r="E299" s="176" t="s">
        <v>187</v>
      </c>
      <c r="G299" s="178"/>
      <c r="P299" s="175" t="s">
        <v>115</v>
      </c>
      <c r="Q299" s="175" t="s">
        <v>109</v>
      </c>
      <c r="R299" s="175" t="s">
        <v>116</v>
      </c>
      <c r="S299" s="175" t="s">
        <v>106</v>
      </c>
    </row>
    <row r="300" spans="4:19" s="14" customFormat="1" ht="15.75" customHeight="1" hidden="1" outlineLevel="1">
      <c r="D300" s="172"/>
      <c r="E300" s="173" t="s">
        <v>1385</v>
      </c>
      <c r="G300" s="174">
        <f>(3.8)*(0.7+2.1)/2</f>
        <v>5.319999999999999</v>
      </c>
      <c r="P300" s="172" t="s">
        <v>115</v>
      </c>
      <c r="Q300" s="172" t="s">
        <v>115</v>
      </c>
      <c r="R300" s="172" t="s">
        <v>116</v>
      </c>
      <c r="S300" s="172" t="s">
        <v>106</v>
      </c>
    </row>
    <row r="301" spans="4:19" s="14" customFormat="1" ht="15.75" customHeight="1" hidden="1" outlineLevel="1">
      <c r="D301" s="172"/>
      <c r="E301" s="173" t="s">
        <v>1386</v>
      </c>
      <c r="G301" s="174">
        <f>(2.05*(3.31+2.5)/2+0.8*3.31+1.855*(3.31+1.95)/2)</f>
        <v>13.4819</v>
      </c>
      <c r="P301" s="172" t="s">
        <v>115</v>
      </c>
      <c r="Q301" s="172" t="s">
        <v>115</v>
      </c>
      <c r="R301" s="172" t="s">
        <v>116</v>
      </c>
      <c r="S301" s="172" t="s">
        <v>106</v>
      </c>
    </row>
    <row r="302" spans="4:19" s="14" customFormat="1" ht="15.75" customHeight="1" hidden="1" outlineLevel="1">
      <c r="D302" s="172"/>
      <c r="E302" s="173" t="s">
        <v>1387</v>
      </c>
      <c r="G302" s="174">
        <f>(1.465*2+1.49)*(1.7+3)/2</f>
        <v>10.387</v>
      </c>
      <c r="P302" s="172" t="s">
        <v>115</v>
      </c>
      <c r="Q302" s="172" t="s">
        <v>115</v>
      </c>
      <c r="R302" s="172" t="s">
        <v>116</v>
      </c>
      <c r="S302" s="172" t="s">
        <v>106</v>
      </c>
    </row>
    <row r="303" spans="4:19" s="14" customFormat="1" ht="15.75" customHeight="1" hidden="1" outlineLevel="1">
      <c r="D303" s="172"/>
      <c r="E303" s="173" t="s">
        <v>1389</v>
      </c>
      <c r="G303" s="174">
        <f>1.35*1.7</f>
        <v>2.295</v>
      </c>
      <c r="P303" s="172" t="s">
        <v>115</v>
      </c>
      <c r="Q303" s="172" t="s">
        <v>115</v>
      </c>
      <c r="R303" s="172" t="s">
        <v>116</v>
      </c>
      <c r="S303" s="172" t="s">
        <v>106</v>
      </c>
    </row>
    <row r="304" spans="4:19" s="14" customFormat="1" ht="15.75" customHeight="1" hidden="1" outlineLevel="1">
      <c r="D304" s="172"/>
      <c r="E304" s="173" t="s">
        <v>1388</v>
      </c>
      <c r="G304" s="174">
        <f>1.49*(1.7+3)/2</f>
        <v>3.5015</v>
      </c>
      <c r="P304" s="172" t="s">
        <v>115</v>
      </c>
      <c r="Q304" s="172" t="s">
        <v>115</v>
      </c>
      <c r="R304" s="172" t="s">
        <v>116</v>
      </c>
      <c r="S304" s="172" t="s">
        <v>106</v>
      </c>
    </row>
    <row r="305" spans="1:16" s="14" customFormat="1" ht="13.5" customHeight="1" collapsed="1">
      <c r="A305" s="179" t="s">
        <v>459</v>
      </c>
      <c r="B305" s="179" t="s">
        <v>146</v>
      </c>
      <c r="C305" s="179" t="s">
        <v>147</v>
      </c>
      <c r="D305" s="180" t="s">
        <v>460</v>
      </c>
      <c r="E305" s="181" t="s">
        <v>461</v>
      </c>
      <c r="F305" s="179" t="s">
        <v>124</v>
      </c>
      <c r="G305" s="182">
        <f>SUM(G306:G307)*1.02</f>
        <v>3.57153</v>
      </c>
      <c r="H305" s="368"/>
      <c r="I305" s="183">
        <f>ROUND(G305*H305,2)</f>
        <v>0</v>
      </c>
      <c r="J305" s="184">
        <v>0.0014</v>
      </c>
      <c r="K305" s="182">
        <f>G305*J305</f>
        <v>0.005000142</v>
      </c>
      <c r="L305" s="184">
        <v>0</v>
      </c>
      <c r="M305" s="182">
        <f>G305*L305</f>
        <v>0</v>
      </c>
      <c r="N305" s="185">
        <v>15</v>
      </c>
      <c r="O305" s="186">
        <v>32</v>
      </c>
      <c r="P305" s="187" t="s">
        <v>115</v>
      </c>
    </row>
    <row r="306" spans="4:19" s="14" customFormat="1" ht="15.75" customHeight="1" hidden="1" outlineLevel="1">
      <c r="D306" s="175"/>
      <c r="E306" s="176" t="s">
        <v>187</v>
      </c>
      <c r="G306" s="177"/>
      <c r="P306" s="175" t="s">
        <v>115</v>
      </c>
      <c r="Q306" s="175" t="s">
        <v>109</v>
      </c>
      <c r="R306" s="175" t="s">
        <v>116</v>
      </c>
      <c r="S306" s="175" t="s">
        <v>106</v>
      </c>
    </row>
    <row r="307" spans="4:19" s="14" customFormat="1" ht="15.75" customHeight="1" hidden="1" outlineLevel="1">
      <c r="D307" s="172"/>
      <c r="E307" s="173" t="s">
        <v>1388</v>
      </c>
      <c r="G307" s="174">
        <f>1.49*(1.7+3)/2</f>
        <v>3.5015</v>
      </c>
      <c r="P307" s="172" t="s">
        <v>115</v>
      </c>
      <c r="Q307" s="172" t="s">
        <v>115</v>
      </c>
      <c r="R307" s="172" t="s">
        <v>116</v>
      </c>
      <c r="S307" s="172" t="s">
        <v>106</v>
      </c>
    </row>
    <row r="308" spans="1:16" s="14" customFormat="1" ht="13.5" customHeight="1" collapsed="1">
      <c r="A308" s="179" t="s">
        <v>462</v>
      </c>
      <c r="B308" s="179" t="s">
        <v>146</v>
      </c>
      <c r="C308" s="179" t="s">
        <v>147</v>
      </c>
      <c r="D308" s="180" t="s">
        <v>463</v>
      </c>
      <c r="E308" s="181" t="s">
        <v>464</v>
      </c>
      <c r="F308" s="179" t="s">
        <v>124</v>
      </c>
      <c r="G308" s="182">
        <f>SUM(G309:G313)*1.02</f>
        <v>28.561428</v>
      </c>
      <c r="H308" s="368"/>
      <c r="I308" s="183">
        <f>ROUND(G308*H308,2)</f>
        <v>0</v>
      </c>
      <c r="J308" s="184">
        <v>0.005</v>
      </c>
      <c r="K308" s="182">
        <f>G308*J308</f>
        <v>0.14280714</v>
      </c>
      <c r="L308" s="184">
        <v>0</v>
      </c>
      <c r="M308" s="182">
        <f>G308*L308</f>
        <v>0</v>
      </c>
      <c r="N308" s="185">
        <v>15</v>
      </c>
      <c r="O308" s="186">
        <v>32</v>
      </c>
      <c r="P308" s="187" t="s">
        <v>115</v>
      </c>
    </row>
    <row r="309" spans="4:19" s="14" customFormat="1" ht="15.75" customHeight="1" hidden="1" outlineLevel="1">
      <c r="D309" s="175"/>
      <c r="E309" s="176" t="s">
        <v>458</v>
      </c>
      <c r="G309" s="177"/>
      <c r="P309" s="175" t="s">
        <v>115</v>
      </c>
      <c r="Q309" s="175" t="s">
        <v>109</v>
      </c>
      <c r="R309" s="175" t="s">
        <v>116</v>
      </c>
      <c r="S309" s="175" t="s">
        <v>106</v>
      </c>
    </row>
    <row r="310" spans="4:19" s="14" customFormat="1" ht="15.75" customHeight="1" hidden="1" outlineLevel="1">
      <c r="D310" s="172"/>
      <c r="E310" s="173" t="s">
        <v>1327</v>
      </c>
      <c r="G310" s="174">
        <f>(0.9+0.55)*2.85</f>
        <v>4.1325</v>
      </c>
      <c r="P310" s="172" t="s">
        <v>115</v>
      </c>
      <c r="Q310" s="172" t="s">
        <v>115</v>
      </c>
      <c r="R310" s="172" t="s">
        <v>116</v>
      </c>
      <c r="S310" s="172" t="s">
        <v>106</v>
      </c>
    </row>
    <row r="311" spans="4:19" s="14" customFormat="1" ht="15.75" customHeight="1" hidden="1" outlineLevel="1">
      <c r="D311" s="175"/>
      <c r="E311" s="176" t="s">
        <v>187</v>
      </c>
      <c r="G311" s="178"/>
      <c r="P311" s="175" t="s">
        <v>115</v>
      </c>
      <c r="Q311" s="175" t="s">
        <v>109</v>
      </c>
      <c r="R311" s="175" t="s">
        <v>116</v>
      </c>
      <c r="S311" s="175" t="s">
        <v>106</v>
      </c>
    </row>
    <row r="312" spans="4:19" s="14" customFormat="1" ht="15.75" customHeight="1" hidden="1" outlineLevel="1">
      <c r="D312" s="172"/>
      <c r="E312" s="173" t="s">
        <v>1386</v>
      </c>
      <c r="G312" s="174">
        <f>(2.05*(3.31+2.5)/2+0.8*3.31+1.855*(3.31+1.95)/2)</f>
        <v>13.4819</v>
      </c>
      <c r="P312" s="172" t="s">
        <v>115</v>
      </c>
      <c r="Q312" s="172" t="s">
        <v>115</v>
      </c>
      <c r="R312" s="172" t="s">
        <v>116</v>
      </c>
      <c r="S312" s="172" t="s">
        <v>106</v>
      </c>
    </row>
    <row r="313" spans="4:19" s="14" customFormat="1" ht="15.75" customHeight="1" hidden="1" outlineLevel="1">
      <c r="D313" s="172"/>
      <c r="E313" s="173" t="s">
        <v>1387</v>
      </c>
      <c r="G313" s="174">
        <f>(1.465*2+1.49)*(1.7+3)/2</f>
        <v>10.387</v>
      </c>
      <c r="P313" s="172" t="s">
        <v>115</v>
      </c>
      <c r="Q313" s="172" t="s">
        <v>115</v>
      </c>
      <c r="R313" s="172" t="s">
        <v>116</v>
      </c>
      <c r="S313" s="172" t="s">
        <v>106</v>
      </c>
    </row>
    <row r="314" spans="1:16" s="14" customFormat="1" ht="13.5" customHeight="1" collapsed="1">
      <c r="A314" s="179" t="s">
        <v>377</v>
      </c>
      <c r="B314" s="179" t="s">
        <v>146</v>
      </c>
      <c r="C314" s="179" t="s">
        <v>147</v>
      </c>
      <c r="D314" s="180" t="s">
        <v>465</v>
      </c>
      <c r="E314" s="181" t="s">
        <v>466</v>
      </c>
      <c r="F314" s="179" t="s">
        <v>124</v>
      </c>
      <c r="G314" s="182">
        <f>SUM(G315:G318)*1.02</f>
        <v>20.364300000000004</v>
      </c>
      <c r="H314" s="368"/>
      <c r="I314" s="183">
        <f>ROUND(G314*H314,2)</f>
        <v>0</v>
      </c>
      <c r="J314" s="184">
        <v>0.006</v>
      </c>
      <c r="K314" s="182">
        <f>G314*J314</f>
        <v>0.12218580000000002</v>
      </c>
      <c r="L314" s="184">
        <v>0</v>
      </c>
      <c r="M314" s="182">
        <f>G314*L314</f>
        <v>0</v>
      </c>
      <c r="N314" s="185">
        <v>15</v>
      </c>
      <c r="O314" s="186">
        <v>32</v>
      </c>
      <c r="P314" s="187" t="s">
        <v>115</v>
      </c>
    </row>
    <row r="315" spans="4:19" s="14" customFormat="1" ht="15.75" customHeight="1" hidden="1" outlineLevel="1">
      <c r="D315" s="175"/>
      <c r="E315" s="176" t="s">
        <v>458</v>
      </c>
      <c r="G315" s="177"/>
      <c r="P315" s="175" t="s">
        <v>115</v>
      </c>
      <c r="Q315" s="175" t="s">
        <v>109</v>
      </c>
      <c r="R315" s="175" t="s">
        <v>116</v>
      </c>
      <c r="S315" s="175" t="s">
        <v>106</v>
      </c>
    </row>
    <row r="316" spans="4:19" s="14" customFormat="1" ht="15.75" customHeight="1" hidden="1" outlineLevel="1">
      <c r="D316" s="172"/>
      <c r="E316" s="173" t="s">
        <v>1384</v>
      </c>
      <c r="G316" s="174">
        <f>(3.1)*2.85*2</f>
        <v>17.67</v>
      </c>
      <c r="P316" s="172" t="s">
        <v>115</v>
      </c>
      <c r="Q316" s="172" t="s">
        <v>115</v>
      </c>
      <c r="R316" s="172" t="s">
        <v>116</v>
      </c>
      <c r="S316" s="172" t="s">
        <v>106</v>
      </c>
    </row>
    <row r="317" spans="4:19" s="14" customFormat="1" ht="15.75" customHeight="1" hidden="1" outlineLevel="1">
      <c r="D317" s="175"/>
      <c r="E317" s="176" t="s">
        <v>187</v>
      </c>
      <c r="G317" s="178"/>
      <c r="P317" s="175" t="s">
        <v>115</v>
      </c>
      <c r="Q317" s="175" t="s">
        <v>109</v>
      </c>
      <c r="R317" s="175" t="s">
        <v>116</v>
      </c>
      <c r="S317" s="175" t="s">
        <v>106</v>
      </c>
    </row>
    <row r="318" spans="4:19" s="14" customFormat="1" ht="15.75" customHeight="1" hidden="1" outlineLevel="1">
      <c r="D318" s="172"/>
      <c r="E318" s="173" t="s">
        <v>1389</v>
      </c>
      <c r="G318" s="174">
        <f>1.35*1.7</f>
        <v>2.295</v>
      </c>
      <c r="P318" s="172" t="s">
        <v>115</v>
      </c>
      <c r="Q318" s="172" t="s">
        <v>115</v>
      </c>
      <c r="R318" s="172" t="s">
        <v>116</v>
      </c>
      <c r="S318" s="172" t="s">
        <v>106</v>
      </c>
    </row>
    <row r="319" spans="1:16" s="14" customFormat="1" ht="13.5" customHeight="1" collapsed="1">
      <c r="A319" s="179" t="s">
        <v>467</v>
      </c>
      <c r="B319" s="179" t="s">
        <v>146</v>
      </c>
      <c r="C319" s="179" t="s">
        <v>147</v>
      </c>
      <c r="D319" s="180" t="s">
        <v>468</v>
      </c>
      <c r="E319" s="181" t="s">
        <v>469</v>
      </c>
      <c r="F319" s="179" t="s">
        <v>124</v>
      </c>
      <c r="G319" s="182">
        <f>SUM(G320:G323)*1.02</f>
        <v>15.74625</v>
      </c>
      <c r="H319" s="368"/>
      <c r="I319" s="183">
        <f>ROUND(G319*H319,2)</f>
        <v>0</v>
      </c>
      <c r="J319" s="184">
        <v>0.009</v>
      </c>
      <c r="K319" s="182">
        <f>G319*J319</f>
        <v>0.14171625</v>
      </c>
      <c r="L319" s="184">
        <v>0</v>
      </c>
      <c r="M319" s="182">
        <f>G319*L319</f>
        <v>0</v>
      </c>
      <c r="N319" s="185">
        <v>15</v>
      </c>
      <c r="O319" s="186">
        <v>32</v>
      </c>
      <c r="P319" s="187" t="s">
        <v>115</v>
      </c>
    </row>
    <row r="320" spans="4:19" s="14" customFormat="1" ht="15.75" customHeight="1" hidden="1" outlineLevel="1">
      <c r="D320" s="175"/>
      <c r="E320" s="176" t="s">
        <v>458</v>
      </c>
      <c r="G320" s="177"/>
      <c r="P320" s="175" t="s">
        <v>115</v>
      </c>
      <c r="Q320" s="175" t="s">
        <v>109</v>
      </c>
      <c r="R320" s="175" t="s">
        <v>116</v>
      </c>
      <c r="S320" s="175" t="s">
        <v>106</v>
      </c>
    </row>
    <row r="321" spans="4:19" s="14" customFormat="1" ht="15.75" customHeight="1" hidden="1" outlineLevel="1">
      <c r="D321" s="172"/>
      <c r="E321" s="173" t="s">
        <v>1383</v>
      </c>
      <c r="G321" s="174">
        <f>(3.55)*2.85</f>
        <v>10.1175</v>
      </c>
      <c r="P321" s="172" t="s">
        <v>115</v>
      </c>
      <c r="Q321" s="172" t="s">
        <v>115</v>
      </c>
      <c r="R321" s="172" t="s">
        <v>116</v>
      </c>
      <c r="S321" s="172" t="s">
        <v>106</v>
      </c>
    </row>
    <row r="322" spans="4:19" s="14" customFormat="1" ht="15.75" customHeight="1" hidden="1" outlineLevel="1">
      <c r="D322" s="175"/>
      <c r="E322" s="176" t="s">
        <v>187</v>
      </c>
      <c r="G322" s="178"/>
      <c r="P322" s="175" t="s">
        <v>115</v>
      </c>
      <c r="Q322" s="175" t="s">
        <v>109</v>
      </c>
      <c r="R322" s="175" t="s">
        <v>116</v>
      </c>
      <c r="S322" s="175" t="s">
        <v>106</v>
      </c>
    </row>
    <row r="323" spans="4:19" s="14" customFormat="1" ht="15.75" customHeight="1" hidden="1" outlineLevel="1">
      <c r="D323" s="172"/>
      <c r="E323" s="173" t="s">
        <v>1385</v>
      </c>
      <c r="G323" s="174">
        <f>(3.8)*(0.7+2.1)/2</f>
        <v>5.319999999999999</v>
      </c>
      <c r="P323" s="172" t="s">
        <v>115</v>
      </c>
      <c r="Q323" s="172" t="s">
        <v>115</v>
      </c>
      <c r="R323" s="172" t="s">
        <v>116</v>
      </c>
      <c r="S323" s="172" t="s">
        <v>106</v>
      </c>
    </row>
    <row r="324" spans="1:16" s="14" customFormat="1" ht="24" customHeight="1" collapsed="1">
      <c r="A324" s="164" t="s">
        <v>470</v>
      </c>
      <c r="B324" s="164" t="s">
        <v>110</v>
      </c>
      <c r="C324" s="164" t="s">
        <v>436</v>
      </c>
      <c r="D324" s="165" t="s">
        <v>471</v>
      </c>
      <c r="E324" s="166" t="s">
        <v>472</v>
      </c>
      <c r="F324" s="164" t="s">
        <v>124</v>
      </c>
      <c r="G324" s="167">
        <f>G325*2</f>
        <v>302.13392500000003</v>
      </c>
      <c r="H324" s="367"/>
      <c r="I324" s="168">
        <f>ROUND(G324*H324,2)</f>
        <v>0</v>
      </c>
      <c r="J324" s="169">
        <v>0</v>
      </c>
      <c r="K324" s="167">
        <f>G324*J324</f>
        <v>0</v>
      </c>
      <c r="L324" s="169">
        <v>0</v>
      </c>
      <c r="M324" s="167">
        <f>G324*L324</f>
        <v>0</v>
      </c>
      <c r="N324" s="170">
        <v>15</v>
      </c>
      <c r="O324" s="171">
        <v>16</v>
      </c>
      <c r="P324" s="14" t="s">
        <v>115</v>
      </c>
    </row>
    <row r="325" spans="4:19" s="14" customFormat="1" ht="24" customHeight="1" hidden="1" outlineLevel="1">
      <c r="D325" s="273" t="s">
        <v>1422</v>
      </c>
      <c r="E325" s="272" t="s">
        <v>1390</v>
      </c>
      <c r="G325" s="174">
        <f>((8.6+10.55)*22.45-1.525*1.685-1.395*1.69-0.6*0.6*11-1.35*2.45*10-0.8*1.3*2-9.9*7.85-(2.33*2+1.75*2+2+2.8)*0.465)/2</f>
        <v>151.06696250000002</v>
      </c>
      <c r="P325" s="172" t="s">
        <v>115</v>
      </c>
      <c r="Q325" s="172" t="s">
        <v>115</v>
      </c>
      <c r="R325" s="172" t="s">
        <v>116</v>
      </c>
      <c r="S325" s="172" t="s">
        <v>106</v>
      </c>
    </row>
    <row r="326" spans="1:16" s="14" customFormat="1" ht="13.5" customHeight="1" collapsed="1">
      <c r="A326" s="179" t="s">
        <v>474</v>
      </c>
      <c r="B326" s="179" t="s">
        <v>146</v>
      </c>
      <c r="C326" s="179" t="s">
        <v>147</v>
      </c>
      <c r="D326" s="180" t="s">
        <v>475</v>
      </c>
      <c r="E326" s="181" t="s">
        <v>476</v>
      </c>
      <c r="F326" s="179" t="s">
        <v>124</v>
      </c>
      <c r="G326" s="182">
        <f>G327*1.02</f>
        <v>154.08830175000003</v>
      </c>
      <c r="H326" s="368"/>
      <c r="I326" s="183">
        <f>ROUND(G326*H326,2)</f>
        <v>0</v>
      </c>
      <c r="J326" s="184">
        <v>0.0014</v>
      </c>
      <c r="K326" s="182">
        <f>G326*J326</f>
        <v>0.21572362245000004</v>
      </c>
      <c r="L326" s="184">
        <v>0</v>
      </c>
      <c r="M326" s="182">
        <f>G326*L326</f>
        <v>0</v>
      </c>
      <c r="N326" s="185">
        <v>15</v>
      </c>
      <c r="O326" s="186">
        <v>32</v>
      </c>
      <c r="P326" s="187" t="s">
        <v>115</v>
      </c>
    </row>
    <row r="327" spans="4:19" s="14" customFormat="1" ht="15.75" customHeight="1" hidden="1" outlineLevel="1">
      <c r="D327" s="172"/>
      <c r="E327" s="272" t="s">
        <v>1422</v>
      </c>
      <c r="G327" s="174">
        <f>G325</f>
        <v>151.06696250000002</v>
      </c>
      <c r="P327" s="172" t="s">
        <v>115</v>
      </c>
      <c r="Q327" s="172" t="s">
        <v>115</v>
      </c>
      <c r="R327" s="172" t="s">
        <v>116</v>
      </c>
      <c r="S327" s="172" t="s">
        <v>109</v>
      </c>
    </row>
    <row r="328" spans="1:16" s="14" customFormat="1" ht="13.5" customHeight="1">
      <c r="A328" s="179" t="s">
        <v>477</v>
      </c>
      <c r="B328" s="179" t="s">
        <v>146</v>
      </c>
      <c r="C328" s="179" t="s">
        <v>147</v>
      </c>
      <c r="D328" s="180" t="s">
        <v>478</v>
      </c>
      <c r="E328" s="181" t="s">
        <v>479</v>
      </c>
      <c r="F328" s="179" t="s">
        <v>124</v>
      </c>
      <c r="G328" s="182">
        <f>G326</f>
        <v>154.08830175000003</v>
      </c>
      <c r="H328" s="368"/>
      <c r="I328" s="183">
        <f>ROUND(G328*H328,2)</f>
        <v>0</v>
      </c>
      <c r="J328" s="184">
        <v>0.0058</v>
      </c>
      <c r="K328" s="182">
        <f>G328*J328</f>
        <v>0.89371215015</v>
      </c>
      <c r="L328" s="184">
        <v>0</v>
      </c>
      <c r="M328" s="182">
        <f>G328*L328</f>
        <v>0</v>
      </c>
      <c r="N328" s="185">
        <v>15</v>
      </c>
      <c r="O328" s="186">
        <v>32</v>
      </c>
      <c r="P328" s="187" t="s">
        <v>115</v>
      </c>
    </row>
    <row r="329" spans="1:16" s="14" customFormat="1" ht="13.5" customHeight="1">
      <c r="A329" s="164" t="s">
        <v>480</v>
      </c>
      <c r="B329" s="164" t="s">
        <v>110</v>
      </c>
      <c r="C329" s="164" t="s">
        <v>436</v>
      </c>
      <c r="D329" s="165" t="s">
        <v>481</v>
      </c>
      <c r="E329" s="166" t="s">
        <v>482</v>
      </c>
      <c r="F329" s="164" t="s">
        <v>46</v>
      </c>
      <c r="G329" s="370">
        <f>SUBTOTAL(9,I284:I328)/100</f>
        <v>0</v>
      </c>
      <c r="H329" s="367"/>
      <c r="I329" s="168">
        <f>ROUND(G329*H329,2)</f>
        <v>0</v>
      </c>
      <c r="J329" s="169">
        <v>0</v>
      </c>
      <c r="K329" s="167">
        <f>G329*J329</f>
        <v>0</v>
      </c>
      <c r="L329" s="169">
        <v>0</v>
      </c>
      <c r="M329" s="167">
        <f>G329*L329</f>
        <v>0</v>
      </c>
      <c r="N329" s="170">
        <v>15</v>
      </c>
      <c r="O329" s="171">
        <v>16</v>
      </c>
      <c r="P329" s="14" t="s">
        <v>115</v>
      </c>
    </row>
    <row r="330" spans="2:16" s="133" customFormat="1" ht="12.75" customHeight="1">
      <c r="B330" s="138" t="s">
        <v>63</v>
      </c>
      <c r="D330" s="139" t="s">
        <v>483</v>
      </c>
      <c r="E330" s="139" t="s">
        <v>484</v>
      </c>
      <c r="I330" s="140">
        <f>SUM(I331:I334)</f>
        <v>0</v>
      </c>
      <c r="K330" s="141">
        <f>SUM(K331:K334)</f>
        <v>0.01438</v>
      </c>
      <c r="M330" s="141">
        <f>SUM(M331:M334)</f>
        <v>0</v>
      </c>
      <c r="P330" s="139" t="s">
        <v>109</v>
      </c>
    </row>
    <row r="331" spans="1:16" s="14" customFormat="1" ht="13.5" customHeight="1">
      <c r="A331" s="164" t="s">
        <v>485</v>
      </c>
      <c r="B331" s="164" t="s">
        <v>110</v>
      </c>
      <c r="C331" s="164" t="s">
        <v>483</v>
      </c>
      <c r="D331" s="165" t="s">
        <v>486</v>
      </c>
      <c r="E331" s="166" t="s">
        <v>487</v>
      </c>
      <c r="F331" s="164" t="s">
        <v>167</v>
      </c>
      <c r="G331" s="167">
        <v>1</v>
      </c>
      <c r="H331" s="385">
        <f>Zdravotní_instalace!F46</f>
        <v>0</v>
      </c>
      <c r="I331" s="168">
        <f>ROUND(G331*H331,2)</f>
        <v>0</v>
      </c>
      <c r="J331" s="169">
        <v>0.01438</v>
      </c>
      <c r="K331" s="167">
        <f>G331*J331</f>
        <v>0.01438</v>
      </c>
      <c r="L331" s="169">
        <v>0</v>
      </c>
      <c r="M331" s="167">
        <f>G331*L331</f>
        <v>0</v>
      </c>
      <c r="N331" s="170">
        <v>15</v>
      </c>
      <c r="O331" s="171">
        <v>16</v>
      </c>
      <c r="P331" s="14" t="s">
        <v>115</v>
      </c>
    </row>
    <row r="332" spans="1:16" s="14" customFormat="1" ht="13.5" customHeight="1">
      <c r="A332" s="164" t="s">
        <v>488</v>
      </c>
      <c r="B332" s="164" t="s">
        <v>110</v>
      </c>
      <c r="C332" s="164" t="s">
        <v>345</v>
      </c>
      <c r="D332" s="165" t="s">
        <v>489</v>
      </c>
      <c r="E332" s="166" t="s">
        <v>490</v>
      </c>
      <c r="F332" s="164" t="s">
        <v>167</v>
      </c>
      <c r="G332" s="167">
        <v>1</v>
      </c>
      <c r="H332" s="385">
        <f>Zdravotní_instalace!F74</f>
        <v>0</v>
      </c>
      <c r="I332" s="168">
        <f>ROUND(G332*H332,2)</f>
        <v>0</v>
      </c>
      <c r="J332" s="169">
        <v>0</v>
      </c>
      <c r="K332" s="167">
        <f>G332*J332</f>
        <v>0</v>
      </c>
      <c r="L332" s="169">
        <v>0</v>
      </c>
      <c r="M332" s="167">
        <f>G332*L332</f>
        <v>0</v>
      </c>
      <c r="N332" s="170">
        <v>15</v>
      </c>
      <c r="O332" s="171">
        <v>16</v>
      </c>
      <c r="P332" s="14" t="s">
        <v>115</v>
      </c>
    </row>
    <row r="333" spans="1:16" s="14" customFormat="1" ht="13.5" customHeight="1">
      <c r="A333" s="164" t="s">
        <v>491</v>
      </c>
      <c r="B333" s="164" t="s">
        <v>110</v>
      </c>
      <c r="C333" s="164" t="s">
        <v>345</v>
      </c>
      <c r="D333" s="165" t="s">
        <v>492</v>
      </c>
      <c r="E333" s="166" t="s">
        <v>493</v>
      </c>
      <c r="F333" s="164" t="s">
        <v>167</v>
      </c>
      <c r="G333" s="167">
        <v>1</v>
      </c>
      <c r="H333" s="385">
        <f>Zdravotní_instalace!F110</f>
        <v>0</v>
      </c>
      <c r="I333" s="168">
        <f>ROUND(G333*H333,2)</f>
        <v>0</v>
      </c>
      <c r="J333" s="169">
        <v>0</v>
      </c>
      <c r="K333" s="167">
        <f>G333*J333</f>
        <v>0</v>
      </c>
      <c r="L333" s="169">
        <v>0</v>
      </c>
      <c r="M333" s="167">
        <f>G333*L333</f>
        <v>0</v>
      </c>
      <c r="N333" s="170">
        <v>15</v>
      </c>
      <c r="O333" s="171">
        <v>16</v>
      </c>
      <c r="P333" s="14" t="s">
        <v>115</v>
      </c>
    </row>
    <row r="334" spans="1:16" s="14" customFormat="1" ht="13.5" customHeight="1">
      <c r="A334" s="164" t="s">
        <v>494</v>
      </c>
      <c r="B334" s="164" t="s">
        <v>110</v>
      </c>
      <c r="C334" s="164" t="s">
        <v>483</v>
      </c>
      <c r="D334" s="165" t="s">
        <v>495</v>
      </c>
      <c r="E334" s="166" t="s">
        <v>496</v>
      </c>
      <c r="F334" s="164" t="s">
        <v>46</v>
      </c>
      <c r="G334" s="370">
        <f>SUBTOTAL(9,I331:I333)/100</f>
        <v>0</v>
      </c>
      <c r="H334" s="367"/>
      <c r="I334" s="168">
        <f>ROUND(G334*H334,2)</f>
        <v>0</v>
      </c>
      <c r="J334" s="169">
        <v>0.01384</v>
      </c>
      <c r="K334" s="167">
        <f>G334*J334</f>
        <v>0</v>
      </c>
      <c r="L334" s="169">
        <v>0</v>
      </c>
      <c r="M334" s="167">
        <f>G334*L334</f>
        <v>0</v>
      </c>
      <c r="N334" s="170">
        <v>15</v>
      </c>
      <c r="O334" s="171">
        <v>16</v>
      </c>
      <c r="P334" s="14" t="s">
        <v>115</v>
      </c>
    </row>
    <row r="335" spans="2:16" s="133" customFormat="1" ht="12.75" customHeight="1">
      <c r="B335" s="138" t="s">
        <v>63</v>
      </c>
      <c r="D335" s="139" t="s">
        <v>497</v>
      </c>
      <c r="E335" s="139" t="s">
        <v>498</v>
      </c>
      <c r="H335" s="275"/>
      <c r="I335" s="140">
        <f>SUM(I336:I337)</f>
        <v>0</v>
      </c>
      <c r="K335" s="141">
        <f>SUM(K336:K337)</f>
        <v>0.00147</v>
      </c>
      <c r="M335" s="141">
        <f>SUM(M336:M337)</f>
        <v>0</v>
      </c>
      <c r="P335" s="139" t="s">
        <v>109</v>
      </c>
    </row>
    <row r="336" spans="1:16" s="14" customFormat="1" ht="13.5" customHeight="1">
      <c r="A336" s="164" t="s">
        <v>499</v>
      </c>
      <c r="B336" s="164" t="s">
        <v>110</v>
      </c>
      <c r="C336" s="164" t="s">
        <v>483</v>
      </c>
      <c r="D336" s="165" t="s">
        <v>500</v>
      </c>
      <c r="E336" s="166" t="s">
        <v>501</v>
      </c>
      <c r="F336" s="164" t="s">
        <v>167</v>
      </c>
      <c r="G336" s="167">
        <v>1</v>
      </c>
      <c r="H336" s="385">
        <f>Domovní_plynovod!F27</f>
        <v>0</v>
      </c>
      <c r="I336" s="168">
        <f>ROUND(G336*H336,2)</f>
        <v>0</v>
      </c>
      <c r="J336" s="169">
        <v>0.00147</v>
      </c>
      <c r="K336" s="167">
        <f>G336*J336</f>
        <v>0.00147</v>
      </c>
      <c r="L336" s="169">
        <v>0</v>
      </c>
      <c r="M336" s="167">
        <f>G336*L336</f>
        <v>0</v>
      </c>
      <c r="N336" s="170">
        <v>15</v>
      </c>
      <c r="O336" s="171">
        <v>16</v>
      </c>
      <c r="P336" s="14" t="s">
        <v>115</v>
      </c>
    </row>
    <row r="337" spans="1:16" s="14" customFormat="1" ht="13.5" customHeight="1">
      <c r="A337" s="164" t="s">
        <v>502</v>
      </c>
      <c r="B337" s="164" t="s">
        <v>110</v>
      </c>
      <c r="C337" s="164" t="s">
        <v>483</v>
      </c>
      <c r="D337" s="165" t="s">
        <v>503</v>
      </c>
      <c r="E337" s="166" t="s">
        <v>496</v>
      </c>
      <c r="F337" s="164" t="s">
        <v>46</v>
      </c>
      <c r="G337" s="370">
        <f>SUBTOTAL(9,I336)/100</f>
        <v>0</v>
      </c>
      <c r="H337" s="367"/>
      <c r="I337" s="168">
        <f>ROUND(G337*H337,2)</f>
        <v>0</v>
      </c>
      <c r="J337" s="169">
        <v>0.00185</v>
      </c>
      <c r="K337" s="167">
        <f>G337*J337</f>
        <v>0</v>
      </c>
      <c r="L337" s="169">
        <v>0</v>
      </c>
      <c r="M337" s="167">
        <f>G337*L337</f>
        <v>0</v>
      </c>
      <c r="N337" s="170">
        <v>15</v>
      </c>
      <c r="O337" s="171">
        <v>16</v>
      </c>
      <c r="P337" s="14" t="s">
        <v>115</v>
      </c>
    </row>
    <row r="338" spans="2:16" s="133" customFormat="1" ht="12.75" customHeight="1">
      <c r="B338" s="138" t="s">
        <v>63</v>
      </c>
      <c r="D338" s="139" t="s">
        <v>504</v>
      </c>
      <c r="E338" s="139" t="s">
        <v>505</v>
      </c>
      <c r="H338" s="275"/>
      <c r="I338" s="140">
        <f>SUM(I339:I340)</f>
        <v>0</v>
      </c>
      <c r="K338" s="141">
        <f>SUM(K339:K340)</f>
        <v>0.01017</v>
      </c>
      <c r="M338" s="141">
        <f>SUM(M339:M340)</f>
        <v>0</v>
      </c>
      <c r="P338" s="139" t="s">
        <v>109</v>
      </c>
    </row>
    <row r="339" spans="1:16" s="14" customFormat="1" ht="13.5" customHeight="1">
      <c r="A339" s="164" t="s">
        <v>506</v>
      </c>
      <c r="B339" s="164" t="s">
        <v>110</v>
      </c>
      <c r="C339" s="164" t="s">
        <v>504</v>
      </c>
      <c r="D339" s="165" t="s">
        <v>507</v>
      </c>
      <c r="E339" s="276" t="s">
        <v>1464</v>
      </c>
      <c r="F339" s="164" t="s">
        <v>167</v>
      </c>
      <c r="G339" s="167">
        <v>1</v>
      </c>
      <c r="H339" s="385">
        <f>Vytápění!E113</f>
        <v>0</v>
      </c>
      <c r="I339" s="168">
        <f>ROUND(G339*H339,2)</f>
        <v>0</v>
      </c>
      <c r="J339" s="169">
        <v>0.01017</v>
      </c>
      <c r="K339" s="167">
        <f>G339*J339</f>
        <v>0.01017</v>
      </c>
      <c r="L339" s="169">
        <v>0</v>
      </c>
      <c r="M339" s="167">
        <f>G339*L339</f>
        <v>0</v>
      </c>
      <c r="N339" s="170">
        <v>15</v>
      </c>
      <c r="O339" s="171">
        <v>16</v>
      </c>
      <c r="P339" s="14" t="s">
        <v>115</v>
      </c>
    </row>
    <row r="340" spans="1:16" s="14" customFormat="1" ht="13.5" customHeight="1">
      <c r="A340" s="164" t="s">
        <v>508</v>
      </c>
      <c r="B340" s="164" t="s">
        <v>110</v>
      </c>
      <c r="C340" s="164" t="s">
        <v>504</v>
      </c>
      <c r="D340" s="165" t="s">
        <v>509</v>
      </c>
      <c r="E340" s="166" t="s">
        <v>496</v>
      </c>
      <c r="F340" s="164" t="s">
        <v>46</v>
      </c>
      <c r="G340" s="370">
        <f>SUBTOTAL(9,I339)/100</f>
        <v>0</v>
      </c>
      <c r="H340" s="367"/>
      <c r="I340" s="168">
        <f>ROUND(G340*H340,2)</f>
        <v>0</v>
      </c>
      <c r="J340" s="169">
        <v>0.01017</v>
      </c>
      <c r="K340" s="167">
        <f>G340*J340</f>
        <v>0</v>
      </c>
      <c r="L340" s="169">
        <v>0</v>
      </c>
      <c r="M340" s="167">
        <f>G340*L340</f>
        <v>0</v>
      </c>
      <c r="N340" s="170">
        <v>15</v>
      </c>
      <c r="O340" s="171">
        <v>16</v>
      </c>
      <c r="P340" s="14" t="s">
        <v>115</v>
      </c>
    </row>
    <row r="341" spans="2:16" s="133" customFormat="1" ht="12.75" customHeight="1">
      <c r="B341" s="138" t="s">
        <v>63</v>
      </c>
      <c r="D341" s="139" t="s">
        <v>510</v>
      </c>
      <c r="E341" s="139" t="s">
        <v>511</v>
      </c>
      <c r="H341" s="275"/>
      <c r="I341" s="140">
        <f>SUM(I342:I343)</f>
        <v>0</v>
      </c>
      <c r="K341" s="141">
        <f>SUM(K342:K343)</f>
        <v>0</v>
      </c>
      <c r="M341" s="141">
        <f>SUM(M342:M343)</f>
        <v>0</v>
      </c>
      <c r="P341" s="139" t="s">
        <v>109</v>
      </c>
    </row>
    <row r="342" spans="1:16" s="14" customFormat="1" ht="13.5" customHeight="1">
      <c r="A342" s="164" t="s">
        <v>512</v>
      </c>
      <c r="B342" s="164" t="s">
        <v>110</v>
      </c>
      <c r="C342" s="164" t="s">
        <v>510</v>
      </c>
      <c r="D342" s="165" t="s">
        <v>513</v>
      </c>
      <c r="E342" s="166" t="s">
        <v>514</v>
      </c>
      <c r="F342" s="164" t="s">
        <v>167</v>
      </c>
      <c r="G342" s="167">
        <v>1</v>
      </c>
      <c r="H342" s="385">
        <f>ESI!J14</f>
        <v>0</v>
      </c>
      <c r="I342" s="168">
        <f>ROUND(G342*H342,2)</f>
        <v>0</v>
      </c>
      <c r="J342" s="169">
        <v>0</v>
      </c>
      <c r="K342" s="167">
        <f>G342*J342</f>
        <v>0</v>
      </c>
      <c r="L342" s="169">
        <v>0</v>
      </c>
      <c r="M342" s="167">
        <f>G342*L342</f>
        <v>0</v>
      </c>
      <c r="N342" s="170">
        <v>15</v>
      </c>
      <c r="O342" s="171">
        <v>16</v>
      </c>
      <c r="P342" s="14" t="s">
        <v>115</v>
      </c>
    </row>
    <row r="343" spans="1:16" s="14" customFormat="1" ht="13.5" customHeight="1">
      <c r="A343" s="164" t="s">
        <v>515</v>
      </c>
      <c r="B343" s="164" t="s">
        <v>110</v>
      </c>
      <c r="C343" s="164" t="s">
        <v>345</v>
      </c>
      <c r="D343" s="165" t="s">
        <v>516</v>
      </c>
      <c r="E343" s="166" t="s">
        <v>517</v>
      </c>
      <c r="F343" s="164" t="s">
        <v>167</v>
      </c>
      <c r="G343" s="167">
        <v>1</v>
      </c>
      <c r="H343" s="385">
        <f>ESL!J14</f>
        <v>0</v>
      </c>
      <c r="I343" s="168">
        <f>ROUND(G343*H343,2)</f>
        <v>0</v>
      </c>
      <c r="J343" s="169">
        <v>0</v>
      </c>
      <c r="K343" s="167">
        <f>G343*J343</f>
        <v>0</v>
      </c>
      <c r="L343" s="169">
        <v>0</v>
      </c>
      <c r="M343" s="167">
        <f>G343*L343</f>
        <v>0</v>
      </c>
      <c r="N343" s="170">
        <v>15</v>
      </c>
      <c r="O343" s="171">
        <v>16</v>
      </c>
      <c r="P343" s="14" t="s">
        <v>115</v>
      </c>
    </row>
    <row r="344" spans="2:16" s="133" customFormat="1" ht="12.75" customHeight="1">
      <c r="B344" s="138" t="s">
        <v>63</v>
      </c>
      <c r="D344" s="139" t="s">
        <v>518</v>
      </c>
      <c r="E344" s="139" t="s">
        <v>519</v>
      </c>
      <c r="H344" s="275"/>
      <c r="I344" s="140">
        <f>SUM(I345:I361)</f>
        <v>0</v>
      </c>
      <c r="K344" s="141">
        <f>SUM(K345:K361)</f>
        <v>0.08679276160000002</v>
      </c>
      <c r="M344" s="141">
        <f>SUM(M345:M361)</f>
        <v>0</v>
      </c>
      <c r="P344" s="139" t="s">
        <v>109</v>
      </c>
    </row>
    <row r="345" spans="1:16" s="14" customFormat="1" ht="24" customHeight="1" collapsed="1">
      <c r="A345" s="164" t="s">
        <v>520</v>
      </c>
      <c r="B345" s="164" t="s">
        <v>110</v>
      </c>
      <c r="C345" s="164" t="s">
        <v>436</v>
      </c>
      <c r="D345" s="165" t="s">
        <v>521</v>
      </c>
      <c r="E345" s="166" t="s">
        <v>522</v>
      </c>
      <c r="F345" s="164" t="s">
        <v>124</v>
      </c>
      <c r="G345" s="167">
        <f>SUM(G346:G347)</f>
        <v>4.81205</v>
      </c>
      <c r="H345" s="367"/>
      <c r="I345" s="168">
        <f>ROUND(G345*H345,2)</f>
        <v>0</v>
      </c>
      <c r="J345" s="169">
        <v>0.0001</v>
      </c>
      <c r="K345" s="167">
        <f>G345*J345</f>
        <v>0.00048120500000000007</v>
      </c>
      <c r="L345" s="169">
        <v>0</v>
      </c>
      <c r="M345" s="167">
        <f>G345*L345</f>
        <v>0</v>
      </c>
      <c r="N345" s="170">
        <v>15</v>
      </c>
      <c r="O345" s="171">
        <v>16</v>
      </c>
      <c r="P345" s="14" t="s">
        <v>115</v>
      </c>
    </row>
    <row r="346" spans="4:19" s="14" customFormat="1" ht="15.75" customHeight="1" hidden="1" outlineLevel="1">
      <c r="D346" s="172"/>
      <c r="E346" s="173" t="s">
        <v>1391</v>
      </c>
      <c r="G346" s="174">
        <f>0.16*3.14*9/2</f>
        <v>2.2608</v>
      </c>
      <c r="P346" s="172" t="s">
        <v>115</v>
      </c>
      <c r="Q346" s="172" t="s">
        <v>115</v>
      </c>
      <c r="R346" s="172" t="s">
        <v>116</v>
      </c>
      <c r="S346" s="172" t="s">
        <v>106</v>
      </c>
    </row>
    <row r="347" spans="4:19" s="14" customFormat="1" ht="15.75" customHeight="1" hidden="1" outlineLevel="1">
      <c r="D347" s="172"/>
      <c r="E347" s="173" t="s">
        <v>1392</v>
      </c>
      <c r="G347" s="174">
        <f>0.125*3.14*13/2</f>
        <v>2.55125</v>
      </c>
      <c r="P347" s="172" t="s">
        <v>115</v>
      </c>
      <c r="Q347" s="172" t="s">
        <v>115</v>
      </c>
      <c r="R347" s="172" t="s">
        <v>116</v>
      </c>
      <c r="S347" s="172" t="s">
        <v>106</v>
      </c>
    </row>
    <row r="348" spans="1:16" s="14" customFormat="1" ht="13.5" customHeight="1">
      <c r="A348" s="179" t="s">
        <v>523</v>
      </c>
      <c r="B348" s="179" t="s">
        <v>146</v>
      </c>
      <c r="C348" s="179" t="s">
        <v>147</v>
      </c>
      <c r="D348" s="180" t="s">
        <v>524</v>
      </c>
      <c r="E348" s="181" t="s">
        <v>525</v>
      </c>
      <c r="F348" s="179" t="s">
        <v>124</v>
      </c>
      <c r="G348" s="182">
        <f>G345*1.02</f>
        <v>4.908291</v>
      </c>
      <c r="H348" s="368"/>
      <c r="I348" s="183">
        <f aca="true" t="shared" si="0" ref="I348:I354">ROUND(G348*H348,2)</f>
        <v>0</v>
      </c>
      <c r="J348" s="184">
        <v>0.0026</v>
      </c>
      <c r="K348" s="182">
        <f aca="true" t="shared" si="1" ref="K348:K354">G348*J348</f>
        <v>0.0127615566</v>
      </c>
      <c r="L348" s="184">
        <v>0</v>
      </c>
      <c r="M348" s="182">
        <f aca="true" t="shared" si="2" ref="M348:M354">G348*L348</f>
        <v>0</v>
      </c>
      <c r="N348" s="185">
        <v>15</v>
      </c>
      <c r="O348" s="186">
        <v>32</v>
      </c>
      <c r="P348" s="187" t="s">
        <v>115</v>
      </c>
    </row>
    <row r="349" spans="1:16" s="14" customFormat="1" ht="13.5" customHeight="1">
      <c r="A349" s="164" t="s">
        <v>526</v>
      </c>
      <c r="B349" s="164" t="s">
        <v>110</v>
      </c>
      <c r="C349" s="164" t="s">
        <v>518</v>
      </c>
      <c r="D349" s="165" t="s">
        <v>527</v>
      </c>
      <c r="E349" s="166" t="s">
        <v>528</v>
      </c>
      <c r="F349" s="164" t="s">
        <v>143</v>
      </c>
      <c r="G349" s="167">
        <v>4</v>
      </c>
      <c r="H349" s="367"/>
      <c r="I349" s="168">
        <f t="shared" si="0"/>
        <v>0</v>
      </c>
      <c r="J349" s="169">
        <v>0</v>
      </c>
      <c r="K349" s="167">
        <f t="shared" si="1"/>
        <v>0</v>
      </c>
      <c r="L349" s="169">
        <v>0</v>
      </c>
      <c r="M349" s="167">
        <f t="shared" si="2"/>
        <v>0</v>
      </c>
      <c r="N349" s="170">
        <v>15</v>
      </c>
      <c r="O349" s="171">
        <v>16</v>
      </c>
      <c r="P349" s="14" t="s">
        <v>115</v>
      </c>
    </row>
    <row r="350" spans="1:16" s="14" customFormat="1" ht="13.5" customHeight="1">
      <c r="A350" s="179" t="s">
        <v>529</v>
      </c>
      <c r="B350" s="179" t="s">
        <v>146</v>
      </c>
      <c r="C350" s="179" t="s">
        <v>147</v>
      </c>
      <c r="D350" s="180" t="s">
        <v>530</v>
      </c>
      <c r="E350" s="181" t="s">
        <v>531</v>
      </c>
      <c r="F350" s="179" t="s">
        <v>143</v>
      </c>
      <c r="G350" s="182">
        <v>4</v>
      </c>
      <c r="H350" s="368"/>
      <c r="I350" s="183">
        <f t="shared" si="0"/>
        <v>0</v>
      </c>
      <c r="J350" s="184">
        <v>0.012</v>
      </c>
      <c r="K350" s="182">
        <f t="shared" si="1"/>
        <v>0.048</v>
      </c>
      <c r="L350" s="184">
        <v>0</v>
      </c>
      <c r="M350" s="182">
        <f t="shared" si="2"/>
        <v>0</v>
      </c>
      <c r="N350" s="185">
        <v>15</v>
      </c>
      <c r="O350" s="186">
        <v>32</v>
      </c>
      <c r="P350" s="187" t="s">
        <v>115</v>
      </c>
    </row>
    <row r="351" spans="1:16" s="14" customFormat="1" ht="13.5" customHeight="1">
      <c r="A351" s="164" t="s">
        <v>532</v>
      </c>
      <c r="B351" s="164" t="s">
        <v>110</v>
      </c>
      <c r="C351" s="164" t="s">
        <v>518</v>
      </c>
      <c r="D351" s="165" t="s">
        <v>533</v>
      </c>
      <c r="E351" s="166" t="s">
        <v>534</v>
      </c>
      <c r="F351" s="164" t="s">
        <v>143</v>
      </c>
      <c r="G351" s="167">
        <v>3</v>
      </c>
      <c r="H351" s="367"/>
      <c r="I351" s="168">
        <f t="shared" si="0"/>
        <v>0</v>
      </c>
      <c r="J351" s="169">
        <v>0</v>
      </c>
      <c r="K351" s="167">
        <f t="shared" si="1"/>
        <v>0</v>
      </c>
      <c r="L351" s="169">
        <v>0</v>
      </c>
      <c r="M351" s="167">
        <f t="shared" si="2"/>
        <v>0</v>
      </c>
      <c r="N351" s="170">
        <v>15</v>
      </c>
      <c r="O351" s="171">
        <v>16</v>
      </c>
      <c r="P351" s="14" t="s">
        <v>115</v>
      </c>
    </row>
    <row r="352" spans="1:16" s="14" customFormat="1" ht="13.5" customHeight="1">
      <c r="A352" s="179" t="s">
        <v>535</v>
      </c>
      <c r="B352" s="179" t="s">
        <v>146</v>
      </c>
      <c r="C352" s="179" t="s">
        <v>147</v>
      </c>
      <c r="D352" s="180" t="s">
        <v>536</v>
      </c>
      <c r="E352" s="181" t="s">
        <v>537</v>
      </c>
      <c r="F352" s="179" t="s">
        <v>143</v>
      </c>
      <c r="G352" s="182">
        <v>2</v>
      </c>
      <c r="H352" s="368"/>
      <c r="I352" s="183">
        <f t="shared" si="0"/>
        <v>0</v>
      </c>
      <c r="J352" s="184">
        <v>0.0008</v>
      </c>
      <c r="K352" s="182">
        <f t="shared" si="1"/>
        <v>0.0016</v>
      </c>
      <c r="L352" s="184">
        <v>0</v>
      </c>
      <c r="M352" s="182">
        <f t="shared" si="2"/>
        <v>0</v>
      </c>
      <c r="N352" s="185">
        <v>15</v>
      </c>
      <c r="O352" s="186">
        <v>32</v>
      </c>
      <c r="P352" s="187" t="s">
        <v>115</v>
      </c>
    </row>
    <row r="353" spans="1:16" s="14" customFormat="1" ht="13.5" customHeight="1">
      <c r="A353" s="179" t="s">
        <v>538</v>
      </c>
      <c r="B353" s="179" t="s">
        <v>146</v>
      </c>
      <c r="C353" s="179" t="s">
        <v>147</v>
      </c>
      <c r="D353" s="180" t="s">
        <v>539</v>
      </c>
      <c r="E353" s="181" t="s">
        <v>540</v>
      </c>
      <c r="F353" s="179" t="s">
        <v>143</v>
      </c>
      <c r="G353" s="182">
        <v>1</v>
      </c>
      <c r="H353" s="368"/>
      <c r="I353" s="183">
        <f t="shared" si="0"/>
        <v>0</v>
      </c>
      <c r="J353" s="184">
        <v>0.0012</v>
      </c>
      <c r="K353" s="182">
        <f t="shared" si="1"/>
        <v>0.0012</v>
      </c>
      <c r="L353" s="184">
        <v>0</v>
      </c>
      <c r="M353" s="182">
        <f t="shared" si="2"/>
        <v>0</v>
      </c>
      <c r="N353" s="185">
        <v>15</v>
      </c>
      <c r="O353" s="186">
        <v>32</v>
      </c>
      <c r="P353" s="187" t="s">
        <v>115</v>
      </c>
    </row>
    <row r="354" spans="1:16" s="14" customFormat="1" ht="13.5" customHeight="1" collapsed="1">
      <c r="A354" s="164" t="s">
        <v>541</v>
      </c>
      <c r="B354" s="164" t="s">
        <v>110</v>
      </c>
      <c r="C354" s="164" t="s">
        <v>518</v>
      </c>
      <c r="D354" s="165" t="s">
        <v>542</v>
      </c>
      <c r="E354" s="166" t="s">
        <v>543</v>
      </c>
      <c r="F354" s="164" t="s">
        <v>385</v>
      </c>
      <c r="G354" s="167">
        <v>11</v>
      </c>
      <c r="H354" s="367"/>
      <c r="I354" s="168">
        <f t="shared" si="0"/>
        <v>0</v>
      </c>
      <c r="J354" s="169">
        <v>0</v>
      </c>
      <c r="K354" s="167">
        <f t="shared" si="1"/>
        <v>0</v>
      </c>
      <c r="L354" s="169">
        <v>0</v>
      </c>
      <c r="M354" s="167">
        <f t="shared" si="2"/>
        <v>0</v>
      </c>
      <c r="N354" s="170">
        <v>15</v>
      </c>
      <c r="O354" s="171">
        <v>16</v>
      </c>
      <c r="P354" s="14" t="s">
        <v>115</v>
      </c>
    </row>
    <row r="355" spans="4:19" s="14" customFormat="1" ht="15.75" customHeight="1" hidden="1" outlineLevel="1">
      <c r="D355" s="172"/>
      <c r="E355" s="173" t="s">
        <v>1393</v>
      </c>
      <c r="G355" s="174">
        <v>6.5</v>
      </c>
      <c r="P355" s="172" t="s">
        <v>115</v>
      </c>
      <c r="Q355" s="172" t="s">
        <v>115</v>
      </c>
      <c r="R355" s="172" t="s">
        <v>116</v>
      </c>
      <c r="S355" s="172" t="s">
        <v>106</v>
      </c>
    </row>
    <row r="356" spans="4:19" s="14" customFormat="1" ht="15.75" customHeight="1" hidden="1" outlineLevel="1">
      <c r="D356" s="172"/>
      <c r="E356" s="173" t="s">
        <v>1394</v>
      </c>
      <c r="G356" s="174">
        <v>4.5</v>
      </c>
      <c r="P356" s="172" t="s">
        <v>115</v>
      </c>
      <c r="Q356" s="172" t="s">
        <v>115</v>
      </c>
      <c r="R356" s="172" t="s">
        <v>116</v>
      </c>
      <c r="S356" s="172" t="s">
        <v>106</v>
      </c>
    </row>
    <row r="357" spans="1:16" s="14" customFormat="1" ht="13.5" customHeight="1" collapsed="1">
      <c r="A357" s="179" t="s">
        <v>544</v>
      </c>
      <c r="B357" s="179" t="s">
        <v>146</v>
      </c>
      <c r="C357" s="179" t="s">
        <v>147</v>
      </c>
      <c r="D357" s="180" t="s">
        <v>545</v>
      </c>
      <c r="E357" s="181" t="s">
        <v>546</v>
      </c>
      <c r="F357" s="179" t="s">
        <v>143</v>
      </c>
      <c r="G357" s="182">
        <v>0.9</v>
      </c>
      <c r="H357" s="368"/>
      <c r="I357" s="183">
        <f>ROUND(G357*H357,2)</f>
        <v>0</v>
      </c>
      <c r="J357" s="184">
        <v>0.013</v>
      </c>
      <c r="K357" s="182">
        <f>G357*J357</f>
        <v>0.0117</v>
      </c>
      <c r="L357" s="184">
        <v>0</v>
      </c>
      <c r="M357" s="182">
        <f>G357*L357</f>
        <v>0</v>
      </c>
      <c r="N357" s="185">
        <v>15</v>
      </c>
      <c r="O357" s="186">
        <v>32</v>
      </c>
      <c r="P357" s="187" t="s">
        <v>115</v>
      </c>
    </row>
    <row r="358" spans="4:19" s="14" customFormat="1" ht="15.75" customHeight="1" hidden="1" outlineLevel="1">
      <c r="D358" s="172"/>
      <c r="E358" s="173" t="s">
        <v>1395</v>
      </c>
      <c r="G358" s="174">
        <v>0.9</v>
      </c>
      <c r="P358" s="172" t="s">
        <v>115</v>
      </c>
      <c r="Q358" s="172" t="s">
        <v>115</v>
      </c>
      <c r="R358" s="172" t="s">
        <v>116</v>
      </c>
      <c r="S358" s="172" t="s">
        <v>109</v>
      </c>
    </row>
    <row r="359" spans="1:16" s="14" customFormat="1" ht="13.5" customHeight="1" collapsed="1">
      <c r="A359" s="179" t="s">
        <v>547</v>
      </c>
      <c r="B359" s="179" t="s">
        <v>146</v>
      </c>
      <c r="C359" s="179" t="s">
        <v>147</v>
      </c>
      <c r="D359" s="180" t="s">
        <v>548</v>
      </c>
      <c r="E359" s="181" t="s">
        <v>549</v>
      </c>
      <c r="F359" s="179" t="s">
        <v>143</v>
      </c>
      <c r="G359" s="182">
        <v>1.3</v>
      </c>
      <c r="H359" s="368"/>
      <c r="I359" s="183">
        <f>ROUND(G359*H359,2)</f>
        <v>0</v>
      </c>
      <c r="J359" s="184">
        <v>0.0085</v>
      </c>
      <c r="K359" s="182">
        <f>G359*J359</f>
        <v>0.01105</v>
      </c>
      <c r="L359" s="184">
        <v>0</v>
      </c>
      <c r="M359" s="182">
        <f>G359*L359</f>
        <v>0</v>
      </c>
      <c r="N359" s="185">
        <v>15</v>
      </c>
      <c r="O359" s="186">
        <v>32</v>
      </c>
      <c r="P359" s="187" t="s">
        <v>115</v>
      </c>
    </row>
    <row r="360" spans="4:19" s="14" customFormat="1" ht="15.75" customHeight="1" hidden="1" outlineLevel="1">
      <c r="D360" s="172"/>
      <c r="E360" s="173" t="s">
        <v>1396</v>
      </c>
      <c r="G360" s="174">
        <v>1.3</v>
      </c>
      <c r="P360" s="172" t="s">
        <v>115</v>
      </c>
      <c r="Q360" s="172" t="s">
        <v>115</v>
      </c>
      <c r="R360" s="172" t="s">
        <v>116</v>
      </c>
      <c r="S360" s="172" t="s">
        <v>109</v>
      </c>
    </row>
    <row r="361" spans="1:16" s="14" customFormat="1" ht="13.5" customHeight="1">
      <c r="A361" s="164" t="s">
        <v>550</v>
      </c>
      <c r="B361" s="164" t="s">
        <v>110</v>
      </c>
      <c r="C361" s="164" t="s">
        <v>518</v>
      </c>
      <c r="D361" s="165" t="s">
        <v>551</v>
      </c>
      <c r="E361" s="166" t="s">
        <v>552</v>
      </c>
      <c r="F361" s="164" t="s">
        <v>46</v>
      </c>
      <c r="G361" s="370">
        <f>SUBTOTAL(9,I345:I360)/100</f>
        <v>0</v>
      </c>
      <c r="H361" s="367"/>
      <c r="I361" s="168">
        <f>ROUND(G361*H361,2)</f>
        <v>0</v>
      </c>
      <c r="J361" s="169">
        <v>0</v>
      </c>
      <c r="K361" s="167">
        <f>G361*J361</f>
        <v>0</v>
      </c>
      <c r="L361" s="169">
        <v>0</v>
      </c>
      <c r="M361" s="167">
        <f>G361*L361</f>
        <v>0</v>
      </c>
      <c r="N361" s="170">
        <v>15</v>
      </c>
      <c r="O361" s="171">
        <v>16</v>
      </c>
      <c r="P361" s="14" t="s">
        <v>115</v>
      </c>
    </row>
    <row r="362" spans="2:22" s="133" customFormat="1" ht="12.75" customHeight="1">
      <c r="B362" s="138" t="s">
        <v>63</v>
      </c>
      <c r="D362" s="139" t="s">
        <v>553</v>
      </c>
      <c r="E362" s="139" t="s">
        <v>554</v>
      </c>
      <c r="I362" s="140">
        <f>SUM(I363:I411)</f>
        <v>0</v>
      </c>
      <c r="K362" s="141">
        <f>SUM(K363:K411)</f>
        <v>8.4224849</v>
      </c>
      <c r="M362" s="141">
        <f>SUM(M363:M411)</f>
        <v>3.519625</v>
      </c>
      <c r="P362" s="139" t="s">
        <v>109</v>
      </c>
      <c r="V362" s="274"/>
    </row>
    <row r="363" spans="1:16" s="14" customFormat="1" ht="13.5" customHeight="1" collapsed="1">
      <c r="A363" s="164" t="s">
        <v>555</v>
      </c>
      <c r="B363" s="164" t="s">
        <v>110</v>
      </c>
      <c r="C363" s="164" t="s">
        <v>553</v>
      </c>
      <c r="D363" s="165" t="s">
        <v>556</v>
      </c>
      <c r="E363" s="166" t="s">
        <v>557</v>
      </c>
      <c r="F363" s="164" t="s">
        <v>124</v>
      </c>
      <c r="G363" s="167">
        <f>SUM(G364:G366)</f>
        <v>16.898</v>
      </c>
      <c r="H363" s="367"/>
      <c r="I363" s="168">
        <f>ROUND(G363*H363,2)</f>
        <v>0</v>
      </c>
      <c r="J363" s="169">
        <v>0</v>
      </c>
      <c r="K363" s="167">
        <f>G363*J363</f>
        <v>0</v>
      </c>
      <c r="L363" s="169">
        <v>0</v>
      </c>
      <c r="M363" s="167">
        <f>G363*L363</f>
        <v>0</v>
      </c>
      <c r="N363" s="170">
        <v>15</v>
      </c>
      <c r="O363" s="171">
        <v>16</v>
      </c>
      <c r="P363" s="14" t="s">
        <v>115</v>
      </c>
    </row>
    <row r="364" spans="4:19" s="14" customFormat="1" ht="15.75" customHeight="1" hidden="1" outlineLevel="1">
      <c r="D364" s="172"/>
      <c r="E364" s="173" t="s">
        <v>1399</v>
      </c>
      <c r="G364" s="174">
        <f>2.85*4*0.15*2</f>
        <v>3.42</v>
      </c>
      <c r="P364" s="172" t="s">
        <v>115</v>
      </c>
      <c r="Q364" s="172" t="s">
        <v>115</v>
      </c>
      <c r="R364" s="172" t="s">
        <v>116</v>
      </c>
      <c r="S364" s="172" t="s">
        <v>106</v>
      </c>
    </row>
    <row r="365" spans="4:19" s="14" customFormat="1" ht="15.75" customHeight="1" hidden="1" outlineLevel="1">
      <c r="D365" s="172"/>
      <c r="E365" s="173" t="s">
        <v>1397</v>
      </c>
      <c r="G365" s="174">
        <f>1.5*3*2*(0.1+0.13)</f>
        <v>2.0700000000000003</v>
      </c>
      <c r="P365" s="172" t="s">
        <v>115</v>
      </c>
      <c r="Q365" s="172" t="s">
        <v>115</v>
      </c>
      <c r="R365" s="172" t="s">
        <v>116</v>
      </c>
      <c r="S365" s="172" t="s">
        <v>106</v>
      </c>
    </row>
    <row r="366" spans="4:19" s="14" customFormat="1" ht="15.75" customHeight="1" hidden="1" outlineLevel="1">
      <c r="D366" s="172"/>
      <c r="E366" s="173" t="s">
        <v>1398</v>
      </c>
      <c r="G366" s="174">
        <f>3.1*2*4*2*(0.08+0.15)</f>
        <v>11.408</v>
      </c>
      <c r="P366" s="172" t="s">
        <v>115</v>
      </c>
      <c r="Q366" s="172" t="s">
        <v>115</v>
      </c>
      <c r="R366" s="172" t="s">
        <v>116</v>
      </c>
      <c r="S366" s="172" t="s">
        <v>106</v>
      </c>
    </row>
    <row r="367" spans="1:16" s="14" customFormat="1" ht="13.5" customHeight="1" collapsed="1">
      <c r="A367" s="164" t="s">
        <v>558</v>
      </c>
      <c r="B367" s="164" t="s">
        <v>110</v>
      </c>
      <c r="C367" s="164" t="s">
        <v>553</v>
      </c>
      <c r="D367" s="165" t="s">
        <v>559</v>
      </c>
      <c r="E367" s="166" t="s">
        <v>560</v>
      </c>
      <c r="F367" s="164" t="s">
        <v>385</v>
      </c>
      <c r="G367" s="167">
        <f>SUM(G368:G372)</f>
        <v>107.00000000000001</v>
      </c>
      <c r="H367" s="367"/>
      <c r="I367" s="168">
        <f>ROUND(G367*H367,2)</f>
        <v>0</v>
      </c>
      <c r="J367" s="169">
        <v>0</v>
      </c>
      <c r="K367" s="167">
        <f>G367*J367</f>
        <v>0</v>
      </c>
      <c r="L367" s="169">
        <v>0.014</v>
      </c>
      <c r="M367" s="167">
        <f>G367*L367</f>
        <v>1.4980000000000002</v>
      </c>
      <c r="N367" s="170">
        <v>15</v>
      </c>
      <c r="O367" s="171">
        <v>16</v>
      </c>
      <c r="P367" s="14" t="s">
        <v>115</v>
      </c>
    </row>
    <row r="368" spans="4:19" s="14" customFormat="1" ht="15.75" customHeight="1" hidden="1" outlineLevel="1">
      <c r="D368" s="172"/>
      <c r="E368" s="173" t="s">
        <v>1400</v>
      </c>
      <c r="G368" s="174">
        <v>2</v>
      </c>
      <c r="P368" s="172" t="s">
        <v>115</v>
      </c>
      <c r="Q368" s="172" t="s">
        <v>115</v>
      </c>
      <c r="R368" s="172" t="s">
        <v>116</v>
      </c>
      <c r="S368" s="172" t="s">
        <v>106</v>
      </c>
    </row>
    <row r="369" spans="4:19" s="14" customFormat="1" ht="15.75" customHeight="1" hidden="1" outlineLevel="1">
      <c r="D369" s="172"/>
      <c r="E369" s="173" t="s">
        <v>1401</v>
      </c>
      <c r="G369" s="174">
        <v>8.2</v>
      </c>
      <c r="P369" s="172" t="s">
        <v>115</v>
      </c>
      <c r="Q369" s="172" t="s">
        <v>115</v>
      </c>
      <c r="R369" s="172" t="s">
        <v>116</v>
      </c>
      <c r="S369" s="172" t="s">
        <v>106</v>
      </c>
    </row>
    <row r="370" spans="4:19" s="14" customFormat="1" ht="15.75" customHeight="1" hidden="1" outlineLevel="1">
      <c r="D370" s="172"/>
      <c r="E370" s="173" t="s">
        <v>1402</v>
      </c>
      <c r="G370" s="174">
        <f>6.5*5+7.7*7</f>
        <v>86.4</v>
      </c>
      <c r="P370" s="172" t="s">
        <v>115</v>
      </c>
      <c r="Q370" s="172" t="s">
        <v>115</v>
      </c>
      <c r="R370" s="172" t="s">
        <v>116</v>
      </c>
      <c r="S370" s="172" t="s">
        <v>106</v>
      </c>
    </row>
    <row r="371" spans="4:19" s="14" customFormat="1" ht="15.75" customHeight="1" hidden="1" outlineLevel="1">
      <c r="D371" s="172"/>
      <c r="E371" s="173" t="s">
        <v>1403</v>
      </c>
      <c r="G371" s="174">
        <f>3.9+2.8</f>
        <v>6.699999999999999</v>
      </c>
      <c r="P371" s="172" t="s">
        <v>115</v>
      </c>
      <c r="Q371" s="172" t="s">
        <v>115</v>
      </c>
      <c r="R371" s="172" t="s">
        <v>116</v>
      </c>
      <c r="S371" s="172" t="s">
        <v>106</v>
      </c>
    </row>
    <row r="372" spans="4:19" s="14" customFormat="1" ht="15.75" customHeight="1" hidden="1" outlineLevel="1">
      <c r="D372" s="172"/>
      <c r="E372" s="173" t="s">
        <v>1404</v>
      </c>
      <c r="G372" s="174">
        <v>3.7</v>
      </c>
      <c r="P372" s="172" t="s">
        <v>115</v>
      </c>
      <c r="Q372" s="172" t="s">
        <v>115</v>
      </c>
      <c r="R372" s="172" t="s">
        <v>116</v>
      </c>
      <c r="S372" s="172" t="s">
        <v>106</v>
      </c>
    </row>
    <row r="373" spans="1:16" s="14" customFormat="1" ht="13.5" customHeight="1" collapsed="1">
      <c r="A373" s="164" t="s">
        <v>561</v>
      </c>
      <c r="B373" s="164" t="s">
        <v>110</v>
      </c>
      <c r="C373" s="164" t="s">
        <v>553</v>
      </c>
      <c r="D373" s="165" t="s">
        <v>562</v>
      </c>
      <c r="E373" s="166" t="s">
        <v>563</v>
      </c>
      <c r="F373" s="164" t="s">
        <v>385</v>
      </c>
      <c r="G373" s="167">
        <v>6.3</v>
      </c>
      <c r="H373" s="367"/>
      <c r="I373" s="168">
        <f>ROUND(G373*H373,2)</f>
        <v>0</v>
      </c>
      <c r="J373" s="169">
        <v>0</v>
      </c>
      <c r="K373" s="167">
        <f>G373*J373</f>
        <v>0</v>
      </c>
      <c r="L373" s="169">
        <v>0.032</v>
      </c>
      <c r="M373" s="167">
        <f>G373*L373</f>
        <v>0.2016</v>
      </c>
      <c r="N373" s="170">
        <v>15</v>
      </c>
      <c r="O373" s="171">
        <v>16</v>
      </c>
      <c r="P373" s="14" t="s">
        <v>115</v>
      </c>
    </row>
    <row r="374" spans="4:19" s="14" customFormat="1" ht="15.75" customHeight="1" hidden="1" outlineLevel="1">
      <c r="D374" s="172"/>
      <c r="E374" s="173" t="s">
        <v>1405</v>
      </c>
      <c r="G374" s="174">
        <v>2.2</v>
      </c>
      <c r="P374" s="172" t="s">
        <v>115</v>
      </c>
      <c r="Q374" s="172" t="s">
        <v>115</v>
      </c>
      <c r="R374" s="172" t="s">
        <v>116</v>
      </c>
      <c r="S374" s="172" t="s">
        <v>106</v>
      </c>
    </row>
    <row r="375" spans="4:19" s="14" customFormat="1" ht="15.75" customHeight="1" hidden="1" outlineLevel="1">
      <c r="D375" s="172"/>
      <c r="E375" s="173" t="s">
        <v>1406</v>
      </c>
      <c r="G375" s="174">
        <v>4.1</v>
      </c>
      <c r="P375" s="172" t="s">
        <v>115</v>
      </c>
      <c r="Q375" s="172" t="s">
        <v>115</v>
      </c>
      <c r="R375" s="172" t="s">
        <v>116</v>
      </c>
      <c r="S375" s="172" t="s">
        <v>106</v>
      </c>
    </row>
    <row r="376" spans="1:16" s="14" customFormat="1" ht="24" customHeight="1" collapsed="1">
      <c r="A376" s="164" t="s">
        <v>564</v>
      </c>
      <c r="B376" s="164" t="s">
        <v>110</v>
      </c>
      <c r="C376" s="164" t="s">
        <v>553</v>
      </c>
      <c r="D376" s="165" t="s">
        <v>565</v>
      </c>
      <c r="E376" s="166" t="s">
        <v>566</v>
      </c>
      <c r="F376" s="164" t="s">
        <v>385</v>
      </c>
      <c r="G376" s="167">
        <f>SUM(G377:G381)</f>
        <v>251.29999999999998</v>
      </c>
      <c r="H376" s="367"/>
      <c r="I376" s="168">
        <f>ROUND(G376*H376,2)</f>
        <v>0</v>
      </c>
      <c r="J376" s="169">
        <v>0</v>
      </c>
      <c r="K376" s="167">
        <f>G376*J376</f>
        <v>0</v>
      </c>
      <c r="L376" s="169">
        <v>0</v>
      </c>
      <c r="M376" s="167">
        <f>G376*L376</f>
        <v>0</v>
      </c>
      <c r="N376" s="170">
        <v>15</v>
      </c>
      <c r="O376" s="171">
        <v>16</v>
      </c>
      <c r="P376" s="14" t="s">
        <v>115</v>
      </c>
    </row>
    <row r="377" spans="4:19" s="14" customFormat="1" ht="15.75" customHeight="1" hidden="1" outlineLevel="1">
      <c r="D377" s="172"/>
      <c r="E377" s="173" t="s">
        <v>1407</v>
      </c>
      <c r="G377" s="174">
        <f>2.85*2</f>
        <v>5.7</v>
      </c>
      <c r="P377" s="172" t="s">
        <v>115</v>
      </c>
      <c r="Q377" s="172" t="s">
        <v>115</v>
      </c>
      <c r="R377" s="172" t="s">
        <v>116</v>
      </c>
      <c r="S377" s="172" t="s">
        <v>106</v>
      </c>
    </row>
    <row r="378" spans="4:19" s="14" customFormat="1" ht="15.75" customHeight="1" hidden="1" outlineLevel="1">
      <c r="D378" s="172"/>
      <c r="E378" s="173" t="s">
        <v>1408</v>
      </c>
      <c r="G378" s="174">
        <f>1.5*3</f>
        <v>4.5</v>
      </c>
      <c r="P378" s="172" t="s">
        <v>115</v>
      </c>
      <c r="Q378" s="172" t="s">
        <v>115</v>
      </c>
      <c r="R378" s="172" t="s">
        <v>116</v>
      </c>
      <c r="S378" s="172" t="s">
        <v>106</v>
      </c>
    </row>
    <row r="379" spans="4:19" s="14" customFormat="1" ht="15.75" customHeight="1" hidden="1" outlineLevel="1">
      <c r="D379" s="172"/>
      <c r="E379" s="173" t="s">
        <v>1409</v>
      </c>
      <c r="G379" s="174">
        <f>3.1*2*4+1.9*19/2</f>
        <v>42.85</v>
      </c>
      <c r="P379" s="172" t="s">
        <v>115</v>
      </c>
      <c r="Q379" s="172" t="s">
        <v>115</v>
      </c>
      <c r="R379" s="172" t="s">
        <v>116</v>
      </c>
      <c r="S379" s="172" t="s">
        <v>106</v>
      </c>
    </row>
    <row r="380" spans="4:19" s="14" customFormat="1" ht="15.75" customHeight="1" hidden="1" outlineLevel="1">
      <c r="D380" s="172"/>
      <c r="E380" s="173" t="s">
        <v>1410</v>
      </c>
      <c r="G380" s="174">
        <f>383.7/2</f>
        <v>191.85</v>
      </c>
      <c r="P380" s="172" t="s">
        <v>115</v>
      </c>
      <c r="Q380" s="172" t="s">
        <v>115</v>
      </c>
      <c r="R380" s="172" t="s">
        <v>116</v>
      </c>
      <c r="S380" s="172" t="s">
        <v>106</v>
      </c>
    </row>
    <row r="381" spans="4:19" s="14" customFormat="1" ht="15.75" customHeight="1" hidden="1" outlineLevel="1">
      <c r="D381" s="172"/>
      <c r="E381" s="173" t="s">
        <v>1411</v>
      </c>
      <c r="G381" s="174">
        <f>2.8+3.6</f>
        <v>6.4</v>
      </c>
      <c r="P381" s="172" t="s">
        <v>115</v>
      </c>
      <c r="Q381" s="172" t="s">
        <v>115</v>
      </c>
      <c r="R381" s="172" t="s">
        <v>116</v>
      </c>
      <c r="S381" s="172" t="s">
        <v>106</v>
      </c>
    </row>
    <row r="382" spans="1:16" s="14" customFormat="1" ht="24" customHeight="1" collapsed="1">
      <c r="A382" s="164" t="s">
        <v>567</v>
      </c>
      <c r="B382" s="164" t="s">
        <v>110</v>
      </c>
      <c r="C382" s="164" t="s">
        <v>553</v>
      </c>
      <c r="D382" s="165" t="s">
        <v>568</v>
      </c>
      <c r="E382" s="166" t="s">
        <v>569</v>
      </c>
      <c r="F382" s="164" t="s">
        <v>385</v>
      </c>
      <c r="G382" s="167">
        <f>SUM(G383:G384)</f>
        <v>14.35</v>
      </c>
      <c r="H382" s="367"/>
      <c r="I382" s="168">
        <f>ROUND(G382*H382,2)</f>
        <v>0</v>
      </c>
      <c r="J382" s="169">
        <v>0</v>
      </c>
      <c r="K382" s="167">
        <f>G382*J382</f>
        <v>0</v>
      </c>
      <c r="L382" s="169">
        <v>0</v>
      </c>
      <c r="M382" s="167">
        <f>G382*L382</f>
        <v>0</v>
      </c>
      <c r="N382" s="170">
        <v>15</v>
      </c>
      <c r="O382" s="171">
        <v>16</v>
      </c>
      <c r="P382" s="14" t="s">
        <v>115</v>
      </c>
    </row>
    <row r="383" spans="4:19" s="14" customFormat="1" ht="15.75" customHeight="1" hidden="1" outlineLevel="1">
      <c r="D383" s="172"/>
      <c r="E383" s="173" t="s">
        <v>1412</v>
      </c>
      <c r="G383" s="174">
        <v>6.5</v>
      </c>
      <c r="P383" s="172" t="s">
        <v>115</v>
      </c>
      <c r="Q383" s="172" t="s">
        <v>115</v>
      </c>
      <c r="R383" s="172" t="s">
        <v>116</v>
      </c>
      <c r="S383" s="172" t="s">
        <v>106</v>
      </c>
    </row>
    <row r="384" spans="4:19" s="14" customFormat="1" ht="15.75" customHeight="1" hidden="1" outlineLevel="1">
      <c r="D384" s="172"/>
      <c r="E384" s="173" t="s">
        <v>1413</v>
      </c>
      <c r="G384" s="174">
        <f>6.3/2+4.7</f>
        <v>7.85</v>
      </c>
      <c r="P384" s="172" t="s">
        <v>115</v>
      </c>
      <c r="Q384" s="172" t="s">
        <v>115</v>
      </c>
      <c r="R384" s="172" t="s">
        <v>116</v>
      </c>
      <c r="S384" s="172" t="s">
        <v>106</v>
      </c>
    </row>
    <row r="385" spans="1:16" s="14" customFormat="1" ht="13.5" customHeight="1" collapsed="1">
      <c r="A385" s="179" t="s">
        <v>570</v>
      </c>
      <c r="B385" s="179" t="s">
        <v>146</v>
      </c>
      <c r="C385" s="179" t="s">
        <v>147</v>
      </c>
      <c r="D385" s="180" t="s">
        <v>571</v>
      </c>
      <c r="E385" s="181" t="s">
        <v>572</v>
      </c>
      <c r="F385" s="179" t="s">
        <v>114</v>
      </c>
      <c r="G385" s="182">
        <f>SUM(G386:G392)</f>
        <v>5.47473</v>
      </c>
      <c r="H385" s="368"/>
      <c r="I385" s="183">
        <f>ROUND(G385*H385,2)</f>
        <v>0</v>
      </c>
      <c r="J385" s="184">
        <v>0.55</v>
      </c>
      <c r="K385" s="182">
        <f>G385*J385</f>
        <v>3.0111015</v>
      </c>
      <c r="L385" s="184">
        <v>0</v>
      </c>
      <c r="M385" s="182">
        <f>G385*L385</f>
        <v>0</v>
      </c>
      <c r="N385" s="185">
        <v>15</v>
      </c>
      <c r="O385" s="186">
        <v>32</v>
      </c>
      <c r="P385" s="187" t="s">
        <v>115</v>
      </c>
    </row>
    <row r="386" spans="4:19" s="14" customFormat="1" ht="15.75" customHeight="1" hidden="1" outlineLevel="1">
      <c r="D386" s="172"/>
      <c r="E386" s="173" t="s">
        <v>1414</v>
      </c>
      <c r="G386" s="174">
        <f>2.85*2*0.15*0.15</f>
        <v>0.12825</v>
      </c>
      <c r="P386" s="172" t="s">
        <v>115</v>
      </c>
      <c r="Q386" s="172" t="s">
        <v>115</v>
      </c>
      <c r="R386" s="172" t="s">
        <v>116</v>
      </c>
      <c r="S386" s="172" t="s">
        <v>106</v>
      </c>
    </row>
    <row r="387" spans="4:19" s="14" customFormat="1" ht="15.75" customHeight="1" hidden="1" outlineLevel="1">
      <c r="D387" s="172"/>
      <c r="E387" s="173" t="s">
        <v>1415</v>
      </c>
      <c r="G387" s="174">
        <f>1.5*3*0.1*0.13</f>
        <v>0.0585</v>
      </c>
      <c r="P387" s="172" t="s">
        <v>115</v>
      </c>
      <c r="Q387" s="172" t="s">
        <v>115</v>
      </c>
      <c r="R387" s="172" t="s">
        <v>116</v>
      </c>
      <c r="S387" s="172" t="s">
        <v>106</v>
      </c>
    </row>
    <row r="388" spans="4:19" s="14" customFormat="1" ht="15.75" customHeight="1" hidden="1" outlineLevel="1">
      <c r="D388" s="172"/>
      <c r="E388" s="173" t="s">
        <v>1416</v>
      </c>
      <c r="G388" s="174">
        <f>(3.1*2*4+1.9*19/2)*0.08*0.15</f>
        <v>0.5142</v>
      </c>
      <c r="P388" s="172" t="s">
        <v>115</v>
      </c>
      <c r="Q388" s="172" t="s">
        <v>115</v>
      </c>
      <c r="R388" s="172" t="s">
        <v>116</v>
      </c>
      <c r="S388" s="172" t="s">
        <v>106</v>
      </c>
    </row>
    <row r="389" spans="4:19" s="14" customFormat="1" ht="15.75" customHeight="1" hidden="1" outlineLevel="1">
      <c r="D389" s="172"/>
      <c r="E389" s="173" t="s">
        <v>1417</v>
      </c>
      <c r="G389" s="174">
        <f>(10.6*7*2+2*4+9*21+2.65*2+2.5*2+2*8+3*4)/2*0.12*0.18</f>
        <v>4.14396</v>
      </c>
      <c r="P389" s="172" t="s">
        <v>115</v>
      </c>
      <c r="Q389" s="172" t="s">
        <v>115</v>
      </c>
      <c r="R389" s="172" t="s">
        <v>116</v>
      </c>
      <c r="S389" s="172" t="s">
        <v>106</v>
      </c>
    </row>
    <row r="390" spans="4:19" s="14" customFormat="1" ht="15.75" customHeight="1" hidden="1" outlineLevel="1">
      <c r="D390" s="172"/>
      <c r="E390" s="173" t="s">
        <v>1418</v>
      </c>
      <c r="G390" s="174">
        <f>(2.8+3.6)*0.15*0.12</f>
        <v>0.1152</v>
      </c>
      <c r="P390" s="172" t="s">
        <v>115</v>
      </c>
      <c r="Q390" s="172" t="s">
        <v>115</v>
      </c>
      <c r="R390" s="172" t="s">
        <v>116</v>
      </c>
      <c r="S390" s="172" t="s">
        <v>106</v>
      </c>
    </row>
    <row r="391" spans="4:19" s="14" customFormat="1" ht="15.75" customHeight="1" hidden="1" outlineLevel="1">
      <c r="D391" s="172"/>
      <c r="E391" s="173" t="s">
        <v>1419</v>
      </c>
      <c r="G391" s="174">
        <f>6.5*0.15*0.18</f>
        <v>0.1755</v>
      </c>
      <c r="P391" s="172" t="s">
        <v>115</v>
      </c>
      <c r="Q391" s="172" t="s">
        <v>115</v>
      </c>
      <c r="R391" s="172" t="s">
        <v>116</v>
      </c>
      <c r="S391" s="172" t="s">
        <v>106</v>
      </c>
    </row>
    <row r="392" spans="4:19" s="14" customFormat="1" ht="15.75" customHeight="1" hidden="1" outlineLevel="1">
      <c r="D392" s="172"/>
      <c r="E392" s="173" t="s">
        <v>1420</v>
      </c>
      <c r="G392" s="174">
        <f>(6.3/2+4.7)*0.18*0.24</f>
        <v>0.3391199999999999</v>
      </c>
      <c r="P392" s="172" t="s">
        <v>115</v>
      </c>
      <c r="Q392" s="172" t="s">
        <v>115</v>
      </c>
      <c r="R392" s="172" t="s">
        <v>116</v>
      </c>
      <c r="S392" s="172" t="s">
        <v>106</v>
      </c>
    </row>
    <row r="393" spans="1:16" s="284" customFormat="1" ht="13.5" customHeight="1">
      <c r="A393" s="278" t="s">
        <v>573</v>
      </c>
      <c r="B393" s="278" t="s">
        <v>110</v>
      </c>
      <c r="C393" s="278" t="s">
        <v>553</v>
      </c>
      <c r="D393" s="279" t="s">
        <v>1466</v>
      </c>
      <c r="E393" s="276" t="s">
        <v>1467</v>
      </c>
      <c r="F393" s="278" t="s">
        <v>167</v>
      </c>
      <c r="G393" s="271">
        <v>1</v>
      </c>
      <c r="H393" s="369"/>
      <c r="I393" s="280">
        <f>ROUND(G393*H393,2)</f>
        <v>0</v>
      </c>
      <c r="J393" s="281">
        <v>0</v>
      </c>
      <c r="K393" s="271">
        <f>G393*J393</f>
        <v>0</v>
      </c>
      <c r="L393" s="281">
        <v>0.015</v>
      </c>
      <c r="M393" s="271">
        <f>G393*L393</f>
        <v>0.015</v>
      </c>
      <c r="N393" s="282">
        <v>15</v>
      </c>
      <c r="O393" s="283">
        <v>16</v>
      </c>
      <c r="P393" s="284" t="s">
        <v>115</v>
      </c>
    </row>
    <row r="394" spans="1:16" s="14" customFormat="1" ht="13.5" customHeight="1" collapsed="1">
      <c r="A394" s="164" t="s">
        <v>573</v>
      </c>
      <c r="B394" s="164" t="s">
        <v>110</v>
      </c>
      <c r="C394" s="164" t="s">
        <v>553</v>
      </c>
      <c r="D394" s="165" t="s">
        <v>574</v>
      </c>
      <c r="E394" s="166" t="s">
        <v>575</v>
      </c>
      <c r="F394" s="164" t="s">
        <v>124</v>
      </c>
      <c r="G394" s="167">
        <f>G395</f>
        <v>93.13500000000002</v>
      </c>
      <c r="H394" s="367"/>
      <c r="I394" s="168">
        <f>ROUND(G394*H394,2)</f>
        <v>0</v>
      </c>
      <c r="J394" s="169">
        <v>0</v>
      </c>
      <c r="K394" s="167">
        <f>G394*J394</f>
        <v>0</v>
      </c>
      <c r="L394" s="169">
        <v>0.015</v>
      </c>
      <c r="M394" s="167">
        <f>G394*L394</f>
        <v>1.3970250000000002</v>
      </c>
      <c r="N394" s="170">
        <v>15</v>
      </c>
      <c r="O394" s="171">
        <v>16</v>
      </c>
      <c r="P394" s="14" t="s">
        <v>115</v>
      </c>
    </row>
    <row r="395" spans="4:19" s="14" customFormat="1" ht="15.75" customHeight="1" hidden="1" outlineLevel="1">
      <c r="D395" s="172"/>
      <c r="E395" s="173" t="s">
        <v>1421</v>
      </c>
      <c r="G395" s="174">
        <f>(10.3*14.9+4.1*4*2)/2</f>
        <v>93.13500000000002</v>
      </c>
      <c r="P395" s="172" t="s">
        <v>115</v>
      </c>
      <c r="Q395" s="172" t="s">
        <v>115</v>
      </c>
      <c r="R395" s="172" t="s">
        <v>116</v>
      </c>
      <c r="S395" s="172" t="s">
        <v>106</v>
      </c>
    </row>
    <row r="396" spans="1:16" s="14" customFormat="1" ht="24" customHeight="1" collapsed="1">
      <c r="A396" s="164" t="s">
        <v>576</v>
      </c>
      <c r="B396" s="164" t="s">
        <v>110</v>
      </c>
      <c r="C396" s="164" t="s">
        <v>553</v>
      </c>
      <c r="D396" s="165" t="s">
        <v>577</v>
      </c>
      <c r="E396" s="166" t="s">
        <v>578</v>
      </c>
      <c r="F396" s="164" t="s">
        <v>124</v>
      </c>
      <c r="G396" s="167">
        <f>G397</f>
        <v>151.067</v>
      </c>
      <c r="H396" s="367"/>
      <c r="I396" s="168">
        <f>ROUND(G396*H396,2)</f>
        <v>0</v>
      </c>
      <c r="J396" s="169">
        <v>0</v>
      </c>
      <c r="K396" s="167">
        <f>G396*J396</f>
        <v>0</v>
      </c>
      <c r="L396" s="169">
        <v>0</v>
      </c>
      <c r="M396" s="167">
        <f>G396*L396</f>
        <v>0</v>
      </c>
      <c r="N396" s="170">
        <v>15</v>
      </c>
      <c r="O396" s="171">
        <v>16</v>
      </c>
      <c r="P396" s="14" t="s">
        <v>115</v>
      </c>
    </row>
    <row r="397" spans="4:19" s="14" customFormat="1" ht="15.75" customHeight="1" hidden="1" outlineLevel="1">
      <c r="D397" s="172"/>
      <c r="E397" s="173" t="s">
        <v>1422</v>
      </c>
      <c r="G397" s="174">
        <f>302.134/2</f>
        <v>151.067</v>
      </c>
      <c r="P397" s="172" t="s">
        <v>115</v>
      </c>
      <c r="Q397" s="172" t="s">
        <v>115</v>
      </c>
      <c r="R397" s="172" t="s">
        <v>116</v>
      </c>
      <c r="S397" s="172" t="s">
        <v>106</v>
      </c>
    </row>
    <row r="398" spans="1:16" s="14" customFormat="1" ht="24" customHeight="1" collapsed="1">
      <c r="A398" s="164" t="s">
        <v>579</v>
      </c>
      <c r="B398" s="164" t="s">
        <v>110</v>
      </c>
      <c r="C398" s="164" t="s">
        <v>553</v>
      </c>
      <c r="D398" s="165" t="s">
        <v>580</v>
      </c>
      <c r="E398" s="166" t="s">
        <v>581</v>
      </c>
      <c r="F398" s="164" t="s">
        <v>124</v>
      </c>
      <c r="G398" s="167">
        <f>G399</f>
        <v>151.067</v>
      </c>
      <c r="H398" s="367"/>
      <c r="I398" s="168">
        <f>ROUND(G398*H398,2)</f>
        <v>0</v>
      </c>
      <c r="J398" s="169">
        <v>0</v>
      </c>
      <c r="K398" s="167">
        <f>G398*J398</f>
        <v>0</v>
      </c>
      <c r="L398" s="169">
        <v>0</v>
      </c>
      <c r="M398" s="167">
        <f>G398*L398</f>
        <v>0</v>
      </c>
      <c r="N398" s="170">
        <v>15</v>
      </c>
      <c r="O398" s="171">
        <v>16</v>
      </c>
      <c r="P398" s="14" t="s">
        <v>115</v>
      </c>
    </row>
    <row r="399" spans="4:19" s="14" customFormat="1" ht="15.75" customHeight="1" hidden="1" outlineLevel="1">
      <c r="D399" s="172"/>
      <c r="E399" s="173" t="s">
        <v>1422</v>
      </c>
      <c r="G399" s="174">
        <f>302.134/2</f>
        <v>151.067</v>
      </c>
      <c r="P399" s="172" t="s">
        <v>115</v>
      </c>
      <c r="Q399" s="172" t="s">
        <v>115</v>
      </c>
      <c r="R399" s="172" t="s">
        <v>116</v>
      </c>
      <c r="S399" s="172" t="s">
        <v>106</v>
      </c>
    </row>
    <row r="400" spans="1:16" s="14" customFormat="1" ht="13.5" customHeight="1" collapsed="1">
      <c r="A400" s="179" t="s">
        <v>582</v>
      </c>
      <c r="B400" s="179" t="s">
        <v>146</v>
      </c>
      <c r="C400" s="179" t="s">
        <v>147</v>
      </c>
      <c r="D400" s="180" t="s">
        <v>583</v>
      </c>
      <c r="E400" s="181" t="s">
        <v>584</v>
      </c>
      <c r="F400" s="179" t="s">
        <v>114</v>
      </c>
      <c r="G400" s="182">
        <f>SUM(G401:G402)</f>
        <v>1.9945</v>
      </c>
      <c r="H400" s="368"/>
      <c r="I400" s="183">
        <f>ROUND(G400*H400,2)</f>
        <v>0</v>
      </c>
      <c r="J400" s="184">
        <v>0.55</v>
      </c>
      <c r="K400" s="182">
        <f>G400*J400</f>
        <v>1.096975</v>
      </c>
      <c r="L400" s="184">
        <v>0</v>
      </c>
      <c r="M400" s="182">
        <f>G400*L400</f>
        <v>0</v>
      </c>
      <c r="N400" s="185">
        <v>15</v>
      </c>
      <c r="O400" s="186">
        <v>32</v>
      </c>
      <c r="P400" s="187" t="s">
        <v>115</v>
      </c>
    </row>
    <row r="401" spans="4:19" s="14" customFormat="1" ht="15.75" customHeight="1" hidden="1" outlineLevel="1">
      <c r="D401" s="172"/>
      <c r="E401" s="173" t="s">
        <v>1423</v>
      </c>
      <c r="G401" s="174">
        <f>0.798/2</f>
        <v>0.399</v>
      </c>
      <c r="P401" s="172" t="s">
        <v>115</v>
      </c>
      <c r="Q401" s="172" t="s">
        <v>115</v>
      </c>
      <c r="R401" s="172" t="s">
        <v>116</v>
      </c>
      <c r="S401" s="172" t="s">
        <v>106</v>
      </c>
    </row>
    <row r="402" spans="4:19" s="14" customFormat="1" ht="15.75" customHeight="1" hidden="1" outlineLevel="1">
      <c r="D402" s="172"/>
      <c r="E402" s="173" t="s">
        <v>1424</v>
      </c>
      <c r="G402" s="174">
        <f>3.191/2</f>
        <v>1.5955</v>
      </c>
      <c r="P402" s="172" t="s">
        <v>115</v>
      </c>
      <c r="Q402" s="172" t="s">
        <v>115</v>
      </c>
      <c r="R402" s="172" t="s">
        <v>116</v>
      </c>
      <c r="S402" s="172" t="s">
        <v>106</v>
      </c>
    </row>
    <row r="403" spans="1:16" s="14" customFormat="1" ht="13.5" customHeight="1" collapsed="1">
      <c r="A403" s="164" t="s">
        <v>585</v>
      </c>
      <c r="B403" s="164" t="s">
        <v>110</v>
      </c>
      <c r="C403" s="164" t="s">
        <v>553</v>
      </c>
      <c r="D403" s="165" t="s">
        <v>586</v>
      </c>
      <c r="E403" s="166" t="s">
        <v>587</v>
      </c>
      <c r="F403" s="164" t="s">
        <v>124</v>
      </c>
      <c r="G403" s="167">
        <f>SUM(G404:G405)</f>
        <v>81.6</v>
      </c>
      <c r="H403" s="367"/>
      <c r="I403" s="168">
        <f>ROUND(G403*H403,2)</f>
        <v>0</v>
      </c>
      <c r="J403" s="169">
        <v>0</v>
      </c>
      <c r="K403" s="167">
        <f>G403*J403</f>
        <v>0</v>
      </c>
      <c r="L403" s="169">
        <v>0.005</v>
      </c>
      <c r="M403" s="167">
        <f>G403*L403</f>
        <v>0.408</v>
      </c>
      <c r="N403" s="170">
        <v>15</v>
      </c>
      <c r="O403" s="171">
        <v>16</v>
      </c>
      <c r="P403" s="14" t="s">
        <v>115</v>
      </c>
    </row>
    <row r="404" spans="4:19" s="14" customFormat="1" ht="15.75" customHeight="1" hidden="1" outlineLevel="1">
      <c r="D404" s="172"/>
      <c r="E404" s="173" t="s">
        <v>1425</v>
      </c>
      <c r="G404" s="174">
        <f>((9.9+6.3)/2*3.35+6.3*4.35)</f>
        <v>54.53999999999999</v>
      </c>
      <c r="P404" s="172" t="s">
        <v>115</v>
      </c>
      <c r="Q404" s="172" t="s">
        <v>115</v>
      </c>
      <c r="R404" s="172" t="s">
        <v>116</v>
      </c>
      <c r="S404" s="172" t="s">
        <v>106</v>
      </c>
    </row>
    <row r="405" spans="4:19" s="14" customFormat="1" ht="15.75" customHeight="1" hidden="1" outlineLevel="1">
      <c r="D405" s="172"/>
      <c r="E405" s="173" t="s">
        <v>1426</v>
      </c>
      <c r="G405" s="174">
        <f>(4.1)*6.6</f>
        <v>27.059999999999995</v>
      </c>
      <c r="P405" s="172" t="s">
        <v>115</v>
      </c>
      <c r="Q405" s="172" t="s">
        <v>115</v>
      </c>
      <c r="R405" s="172" t="s">
        <v>116</v>
      </c>
      <c r="S405" s="172" t="s">
        <v>106</v>
      </c>
    </row>
    <row r="406" spans="1:16" s="14" customFormat="1" ht="13.5" customHeight="1">
      <c r="A406" s="179" t="s">
        <v>588</v>
      </c>
      <c r="B406" s="179" t="s">
        <v>146</v>
      </c>
      <c r="C406" s="179" t="s">
        <v>147</v>
      </c>
      <c r="D406" s="180" t="s">
        <v>589</v>
      </c>
      <c r="E406" s="181" t="s">
        <v>590</v>
      </c>
      <c r="F406" s="179" t="s">
        <v>167</v>
      </c>
      <c r="G406" s="182">
        <v>0.5</v>
      </c>
      <c r="H406" s="368"/>
      <c r="I406" s="183">
        <f>ROUND(G406*H406,2)</f>
        <v>0</v>
      </c>
      <c r="J406" s="184">
        <v>0</v>
      </c>
      <c r="K406" s="182">
        <f>G406*J406</f>
        <v>0</v>
      </c>
      <c r="L406" s="184">
        <v>0</v>
      </c>
      <c r="M406" s="182">
        <f>G406*L406</f>
        <v>0</v>
      </c>
      <c r="N406" s="185">
        <v>15</v>
      </c>
      <c r="O406" s="186">
        <v>32</v>
      </c>
      <c r="P406" s="187" t="s">
        <v>115</v>
      </c>
    </row>
    <row r="407" spans="1:16" s="14" customFormat="1" ht="13.5" customHeight="1" collapsed="1">
      <c r="A407" s="164" t="s">
        <v>591</v>
      </c>
      <c r="B407" s="164" t="s">
        <v>110</v>
      </c>
      <c r="C407" s="164" t="s">
        <v>553</v>
      </c>
      <c r="D407" s="165" t="s">
        <v>592</v>
      </c>
      <c r="E407" s="166" t="s">
        <v>593</v>
      </c>
      <c r="F407" s="164" t="s">
        <v>114</v>
      </c>
      <c r="G407" s="167">
        <f>G408</f>
        <v>7.47</v>
      </c>
      <c r="H407" s="367"/>
      <c r="I407" s="168">
        <f>ROUND(G407*H407,2)</f>
        <v>0</v>
      </c>
      <c r="J407" s="169">
        <v>0.02431</v>
      </c>
      <c r="K407" s="167">
        <f>G407*J407</f>
        <v>0.18159569999999997</v>
      </c>
      <c r="L407" s="169">
        <v>0</v>
      </c>
      <c r="M407" s="167">
        <f>G407*L407</f>
        <v>0</v>
      </c>
      <c r="N407" s="170">
        <v>15</v>
      </c>
      <c r="O407" s="171">
        <v>16</v>
      </c>
      <c r="P407" s="14" t="s">
        <v>115</v>
      </c>
    </row>
    <row r="408" spans="4:19" s="14" customFormat="1" ht="15.75" customHeight="1" hidden="1" outlineLevel="1">
      <c r="D408" s="172"/>
      <c r="E408" s="173" t="s">
        <v>1427</v>
      </c>
      <c r="G408" s="174">
        <f>5.475+1.995</f>
        <v>7.47</v>
      </c>
      <c r="P408" s="172" t="s">
        <v>115</v>
      </c>
      <c r="Q408" s="172" t="s">
        <v>115</v>
      </c>
      <c r="R408" s="172" t="s">
        <v>116</v>
      </c>
      <c r="S408" s="172" t="s">
        <v>106</v>
      </c>
    </row>
    <row r="409" spans="1:16" s="14" customFormat="1" ht="24" customHeight="1" collapsed="1">
      <c r="A409" s="164" t="s">
        <v>594</v>
      </c>
      <c r="B409" s="164" t="s">
        <v>110</v>
      </c>
      <c r="C409" s="164" t="s">
        <v>553</v>
      </c>
      <c r="D409" s="165" t="s">
        <v>595</v>
      </c>
      <c r="E409" s="276" t="s">
        <v>596</v>
      </c>
      <c r="F409" s="164" t="s">
        <v>124</v>
      </c>
      <c r="G409" s="167">
        <f>G410</f>
        <v>111.97</v>
      </c>
      <c r="H409" s="367"/>
      <c r="I409" s="168">
        <f>ROUND(G409*H409,2)</f>
        <v>0</v>
      </c>
      <c r="J409" s="169">
        <v>0.03691</v>
      </c>
      <c r="K409" s="167">
        <f>G409*J409</f>
        <v>4.1328127</v>
      </c>
      <c r="L409" s="169">
        <v>0</v>
      </c>
      <c r="M409" s="167">
        <f>G409*L409</f>
        <v>0</v>
      </c>
      <c r="N409" s="170">
        <v>15</v>
      </c>
      <c r="O409" s="171">
        <v>16</v>
      </c>
      <c r="P409" s="14" t="s">
        <v>115</v>
      </c>
    </row>
    <row r="410" spans="4:19" s="14" customFormat="1" ht="15.75" customHeight="1" hidden="1" outlineLevel="1">
      <c r="D410" s="172"/>
      <c r="E410" s="173" t="s">
        <v>441</v>
      </c>
      <c r="G410" s="174">
        <f>G558+G539+G559</f>
        <v>111.97</v>
      </c>
      <c r="P410" s="172" t="s">
        <v>115</v>
      </c>
      <c r="Q410" s="172" t="s">
        <v>115</v>
      </c>
      <c r="R410" s="172" t="s">
        <v>116</v>
      </c>
      <c r="S410" s="172" t="s">
        <v>106</v>
      </c>
    </row>
    <row r="411" spans="1:16" s="14" customFormat="1" ht="13.5" customHeight="1">
      <c r="A411" s="164" t="s">
        <v>597</v>
      </c>
      <c r="B411" s="164" t="s">
        <v>110</v>
      </c>
      <c r="C411" s="164" t="s">
        <v>553</v>
      </c>
      <c r="D411" s="165" t="s">
        <v>598</v>
      </c>
      <c r="E411" s="166" t="s">
        <v>599</v>
      </c>
      <c r="F411" s="164" t="s">
        <v>46</v>
      </c>
      <c r="G411" s="370">
        <f>SUBTOTAL(9,I363:I410)/100</f>
        <v>0</v>
      </c>
      <c r="H411" s="367"/>
      <c r="I411" s="168">
        <f>ROUND(G411*H411,2)</f>
        <v>0</v>
      </c>
      <c r="J411" s="169">
        <v>0</v>
      </c>
      <c r="K411" s="167">
        <f>G411*J411</f>
        <v>0</v>
      </c>
      <c r="L411" s="169">
        <v>0</v>
      </c>
      <c r="M411" s="167">
        <f>G411*L411</f>
        <v>0</v>
      </c>
      <c r="N411" s="170">
        <v>15</v>
      </c>
      <c r="O411" s="171">
        <v>16</v>
      </c>
      <c r="P411" s="14" t="s">
        <v>115</v>
      </c>
    </row>
    <row r="412" spans="2:16" s="133" customFormat="1" ht="12.75" customHeight="1">
      <c r="B412" s="138" t="s">
        <v>63</v>
      </c>
      <c r="D412" s="139" t="s">
        <v>600</v>
      </c>
      <c r="E412" s="139" t="s">
        <v>601</v>
      </c>
      <c r="I412" s="140">
        <f>SUM(I413:I443)</f>
        <v>0</v>
      </c>
      <c r="K412" s="141">
        <f>SUM(K413:K443)</f>
        <v>5.9550923849999995</v>
      </c>
      <c r="M412" s="141">
        <f>SUM(M413:M443)</f>
        <v>0</v>
      </c>
      <c r="P412" s="139" t="s">
        <v>109</v>
      </c>
    </row>
    <row r="413" spans="1:16" s="14" customFormat="1" ht="13.5" customHeight="1" collapsed="1">
      <c r="A413" s="164" t="s">
        <v>602</v>
      </c>
      <c r="B413" s="164" t="s">
        <v>110</v>
      </c>
      <c r="C413" s="164" t="s">
        <v>600</v>
      </c>
      <c r="D413" s="165" t="s">
        <v>603</v>
      </c>
      <c r="E413" s="166" t="s">
        <v>604</v>
      </c>
      <c r="F413" s="164" t="s">
        <v>124</v>
      </c>
      <c r="G413" s="167">
        <f>G414</f>
        <v>35.455</v>
      </c>
      <c r="H413" s="367"/>
      <c r="I413" s="168">
        <f>ROUND(G413*H413,2)</f>
        <v>0</v>
      </c>
      <c r="J413" s="169">
        <v>0.04639</v>
      </c>
      <c r="K413" s="167">
        <f>G413*J413</f>
        <v>1.64475745</v>
      </c>
      <c r="L413" s="169">
        <v>0</v>
      </c>
      <c r="M413" s="167">
        <f>G413*L413</f>
        <v>0</v>
      </c>
      <c r="N413" s="170">
        <v>15</v>
      </c>
      <c r="O413" s="171">
        <v>16</v>
      </c>
      <c r="P413" s="14" t="s">
        <v>115</v>
      </c>
    </row>
    <row r="414" spans="4:19" s="14" customFormat="1" ht="15.75" customHeight="1" hidden="1" outlineLevel="1">
      <c r="D414" s="172"/>
      <c r="E414" s="173" t="s">
        <v>605</v>
      </c>
      <c r="G414" s="174">
        <v>35.455</v>
      </c>
      <c r="P414" s="172" t="s">
        <v>115</v>
      </c>
      <c r="Q414" s="172" t="s">
        <v>115</v>
      </c>
      <c r="R414" s="172" t="s">
        <v>116</v>
      </c>
      <c r="S414" s="172" t="s">
        <v>106</v>
      </c>
    </row>
    <row r="415" spans="1:16" s="14" customFormat="1" ht="24" customHeight="1" collapsed="1">
      <c r="A415" s="164" t="s">
        <v>606</v>
      </c>
      <c r="B415" s="164" t="s">
        <v>110</v>
      </c>
      <c r="C415" s="164" t="s">
        <v>600</v>
      </c>
      <c r="D415" s="165" t="s">
        <v>607</v>
      </c>
      <c r="E415" s="166" t="s">
        <v>608</v>
      </c>
      <c r="F415" s="164" t="s">
        <v>124</v>
      </c>
      <c r="G415" s="167">
        <f>G416</f>
        <v>19.59345</v>
      </c>
      <c r="H415" s="367"/>
      <c r="I415" s="168">
        <f>ROUND(G415*H415,2)</f>
        <v>0</v>
      </c>
      <c r="J415" s="169">
        <v>0.07206</v>
      </c>
      <c r="K415" s="167">
        <f>G415*J415</f>
        <v>1.411904007</v>
      </c>
      <c r="L415" s="169">
        <v>0</v>
      </c>
      <c r="M415" s="167">
        <f>G415*L415</f>
        <v>0</v>
      </c>
      <c r="N415" s="170">
        <v>15</v>
      </c>
      <c r="O415" s="171">
        <v>16</v>
      </c>
      <c r="P415" s="14" t="s">
        <v>115</v>
      </c>
    </row>
    <row r="416" spans="4:19" s="14" customFormat="1" ht="15.75" customHeight="1" hidden="1" outlineLevel="1">
      <c r="D416" s="172"/>
      <c r="E416" s="173" t="s">
        <v>1428</v>
      </c>
      <c r="G416" s="174">
        <f>(2.2*(1.75+3.07)+5.45*(3.07+1.35)+1.22*(1.785+0.255*2)+0.7*1.21*2)/2</f>
        <v>19.59345</v>
      </c>
      <c r="P416" s="172" t="s">
        <v>115</v>
      </c>
      <c r="Q416" s="172" t="s">
        <v>115</v>
      </c>
      <c r="R416" s="172" t="s">
        <v>116</v>
      </c>
      <c r="S416" s="172" t="s">
        <v>106</v>
      </c>
    </row>
    <row r="417" spans="1:16" s="14" customFormat="1" ht="13.5" customHeight="1" collapsed="1">
      <c r="A417" s="164" t="s">
        <v>609</v>
      </c>
      <c r="B417" s="164" t="s">
        <v>110</v>
      </c>
      <c r="C417" s="164" t="s">
        <v>600</v>
      </c>
      <c r="D417" s="165" t="s">
        <v>610</v>
      </c>
      <c r="E417" s="166" t="s">
        <v>611</v>
      </c>
      <c r="F417" s="164" t="s">
        <v>124</v>
      </c>
      <c r="G417" s="167">
        <f>G418</f>
        <v>14.094</v>
      </c>
      <c r="H417" s="367"/>
      <c r="I417" s="168">
        <f>ROUND(G417*H417,2)</f>
        <v>0</v>
      </c>
      <c r="J417" s="169">
        <v>0.02767</v>
      </c>
      <c r="K417" s="167">
        <f>G417*J417</f>
        <v>0.38998098</v>
      </c>
      <c r="L417" s="169">
        <v>0</v>
      </c>
      <c r="M417" s="167">
        <f>G417*L417</f>
        <v>0</v>
      </c>
      <c r="N417" s="170">
        <v>15</v>
      </c>
      <c r="O417" s="171">
        <v>16</v>
      </c>
      <c r="P417" s="14" t="s">
        <v>115</v>
      </c>
    </row>
    <row r="418" spans="4:19" s="14" customFormat="1" ht="15.75" customHeight="1" hidden="1" outlineLevel="1">
      <c r="D418" s="172"/>
      <c r="E418" s="173" t="s">
        <v>612</v>
      </c>
      <c r="G418" s="174">
        <v>14.094</v>
      </c>
      <c r="P418" s="172" t="s">
        <v>115</v>
      </c>
      <c r="Q418" s="172" t="s">
        <v>115</v>
      </c>
      <c r="R418" s="172" t="s">
        <v>116</v>
      </c>
      <c r="S418" s="172" t="s">
        <v>106</v>
      </c>
    </row>
    <row r="419" spans="1:16" s="14" customFormat="1" ht="24" customHeight="1" collapsed="1">
      <c r="A419" s="164" t="s">
        <v>613</v>
      </c>
      <c r="B419" s="164" t="s">
        <v>110</v>
      </c>
      <c r="C419" s="164" t="s">
        <v>600</v>
      </c>
      <c r="D419" s="165" t="s">
        <v>614</v>
      </c>
      <c r="E419" s="166" t="s">
        <v>615</v>
      </c>
      <c r="F419" s="164" t="s">
        <v>124</v>
      </c>
      <c r="G419" s="167">
        <f>SUM(G420:G421)</f>
        <v>24.469</v>
      </c>
      <c r="H419" s="367"/>
      <c r="I419" s="168">
        <f>ROUND(G419*H419,2)</f>
        <v>0</v>
      </c>
      <c r="J419" s="169">
        <v>0.02822</v>
      </c>
      <c r="K419" s="167">
        <f>G419*J419</f>
        <v>0.69051518</v>
      </c>
      <c r="L419" s="169">
        <v>0</v>
      </c>
      <c r="M419" s="167">
        <f>G419*L419</f>
        <v>0</v>
      </c>
      <c r="N419" s="170">
        <v>15</v>
      </c>
      <c r="O419" s="171">
        <v>16</v>
      </c>
      <c r="P419" s="14" t="s">
        <v>115</v>
      </c>
    </row>
    <row r="420" spans="4:19" s="14" customFormat="1" ht="15.75" customHeight="1" hidden="1" outlineLevel="1">
      <c r="D420" s="172"/>
      <c r="E420" s="173" t="s">
        <v>616</v>
      </c>
      <c r="G420" s="174">
        <v>5.4</v>
      </c>
      <c r="P420" s="172" t="s">
        <v>115</v>
      </c>
      <c r="Q420" s="172" t="s">
        <v>115</v>
      </c>
      <c r="R420" s="172" t="s">
        <v>116</v>
      </c>
      <c r="S420" s="172" t="s">
        <v>106</v>
      </c>
    </row>
    <row r="421" spans="4:19" s="14" customFormat="1" ht="15.75" customHeight="1" hidden="1" outlineLevel="1">
      <c r="D421" s="172"/>
      <c r="E421" s="173" t="s">
        <v>617</v>
      </c>
      <c r="G421" s="174">
        <v>19.069</v>
      </c>
      <c r="P421" s="172" t="s">
        <v>115</v>
      </c>
      <c r="Q421" s="172" t="s">
        <v>115</v>
      </c>
      <c r="R421" s="172" t="s">
        <v>116</v>
      </c>
      <c r="S421" s="172" t="s">
        <v>106</v>
      </c>
    </row>
    <row r="422" spans="1:16" s="14" customFormat="1" ht="13.5" customHeight="1" collapsed="1">
      <c r="A422" s="164" t="s">
        <v>618</v>
      </c>
      <c r="B422" s="164" t="s">
        <v>110</v>
      </c>
      <c r="C422" s="164" t="s">
        <v>600</v>
      </c>
      <c r="D422" s="165" t="s">
        <v>619</v>
      </c>
      <c r="E422" s="166" t="s">
        <v>620</v>
      </c>
      <c r="F422" s="164" t="s">
        <v>124</v>
      </c>
      <c r="G422" s="167">
        <f>SUM(G423:G424)</f>
        <v>72.845</v>
      </c>
      <c r="H422" s="367"/>
      <c r="I422" s="168">
        <f>ROUND(G422*H422,2)</f>
        <v>0</v>
      </c>
      <c r="J422" s="169">
        <v>0.01244</v>
      </c>
      <c r="K422" s="167">
        <f>G422*J422</f>
        <v>0.9061918</v>
      </c>
      <c r="L422" s="169">
        <v>0</v>
      </c>
      <c r="M422" s="167">
        <f>G422*L422</f>
        <v>0</v>
      </c>
      <c r="N422" s="170">
        <v>15</v>
      </c>
      <c r="O422" s="171">
        <v>16</v>
      </c>
      <c r="P422" s="14" t="s">
        <v>115</v>
      </c>
    </row>
    <row r="423" spans="4:19" s="14" customFormat="1" ht="15.75" customHeight="1" hidden="1" outlineLevel="1">
      <c r="D423" s="172"/>
      <c r="E423" s="173" t="s">
        <v>1429</v>
      </c>
      <c r="G423" s="174">
        <f>7.53/2+26.07+18.64+8.85+2.5</f>
        <v>59.825</v>
      </c>
      <c r="P423" s="172" t="s">
        <v>115</v>
      </c>
      <c r="Q423" s="172" t="s">
        <v>115</v>
      </c>
      <c r="R423" s="172" t="s">
        <v>116</v>
      </c>
      <c r="S423" s="172" t="s">
        <v>106</v>
      </c>
    </row>
    <row r="424" spans="4:19" s="14" customFormat="1" ht="15.75" customHeight="1" hidden="1" outlineLevel="1">
      <c r="D424" s="172"/>
      <c r="E424" s="173" t="s">
        <v>1430</v>
      </c>
      <c r="G424" s="174">
        <v>13.02</v>
      </c>
      <c r="P424" s="172" t="s">
        <v>115</v>
      </c>
      <c r="Q424" s="172" t="s">
        <v>115</v>
      </c>
      <c r="R424" s="172" t="s">
        <v>116</v>
      </c>
      <c r="S424" s="172" t="s">
        <v>106</v>
      </c>
    </row>
    <row r="425" spans="1:16" s="14" customFormat="1" ht="13.5" customHeight="1" collapsed="1">
      <c r="A425" s="164" t="s">
        <v>621</v>
      </c>
      <c r="B425" s="164" t="s">
        <v>110</v>
      </c>
      <c r="C425" s="164" t="s">
        <v>600</v>
      </c>
      <c r="D425" s="165" t="s">
        <v>622</v>
      </c>
      <c r="E425" s="166" t="s">
        <v>623</v>
      </c>
      <c r="F425" s="164" t="s">
        <v>124</v>
      </c>
      <c r="G425" s="167">
        <f>SUM(G426:G427)</f>
        <v>7.17</v>
      </c>
      <c r="H425" s="367"/>
      <c r="I425" s="168">
        <f>ROUND(G425*H425,2)</f>
        <v>0</v>
      </c>
      <c r="J425" s="169">
        <v>0.01254</v>
      </c>
      <c r="K425" s="167">
        <f>G425*J425</f>
        <v>0.0899118</v>
      </c>
      <c r="L425" s="169">
        <v>0</v>
      </c>
      <c r="M425" s="167">
        <f>G425*L425</f>
        <v>0</v>
      </c>
      <c r="N425" s="170">
        <v>15</v>
      </c>
      <c r="O425" s="171">
        <v>16</v>
      </c>
      <c r="P425" s="14" t="s">
        <v>115</v>
      </c>
    </row>
    <row r="426" spans="4:19" s="14" customFormat="1" ht="15.75" customHeight="1" hidden="1" outlineLevel="1">
      <c r="D426" s="172"/>
      <c r="E426" s="173" t="s">
        <v>1431</v>
      </c>
      <c r="G426" s="174">
        <f>1.18+3.81</f>
        <v>4.99</v>
      </c>
      <c r="P426" s="172" t="s">
        <v>115</v>
      </c>
      <c r="Q426" s="172" t="s">
        <v>115</v>
      </c>
      <c r="R426" s="172" t="s">
        <v>116</v>
      </c>
      <c r="S426" s="172" t="s">
        <v>106</v>
      </c>
    </row>
    <row r="427" spans="4:19" s="14" customFormat="1" ht="15.75" customHeight="1" hidden="1" outlineLevel="1">
      <c r="D427" s="172"/>
      <c r="E427" s="173" t="s">
        <v>1432</v>
      </c>
      <c r="G427" s="174">
        <v>2.18</v>
      </c>
      <c r="P427" s="172" t="s">
        <v>115</v>
      </c>
      <c r="Q427" s="172" t="s">
        <v>115</v>
      </c>
      <c r="R427" s="172" t="s">
        <v>116</v>
      </c>
      <c r="S427" s="172" t="s">
        <v>106</v>
      </c>
    </row>
    <row r="428" spans="1:16" s="14" customFormat="1" ht="13.5" customHeight="1" collapsed="1">
      <c r="A428" s="164" t="s">
        <v>624</v>
      </c>
      <c r="B428" s="164" t="s">
        <v>110</v>
      </c>
      <c r="C428" s="164" t="s">
        <v>600</v>
      </c>
      <c r="D428" s="165" t="s">
        <v>625</v>
      </c>
      <c r="E428" s="166" t="s">
        <v>626</v>
      </c>
      <c r="F428" s="164" t="s">
        <v>124</v>
      </c>
      <c r="G428" s="167">
        <f>SUM(G429:G434)</f>
        <v>80.224</v>
      </c>
      <c r="H428" s="367"/>
      <c r="I428" s="168">
        <f>ROUND(G428*H428,2)</f>
        <v>0</v>
      </c>
      <c r="J428" s="169">
        <v>0</v>
      </c>
      <c r="K428" s="167">
        <f>G428*J428</f>
        <v>0</v>
      </c>
      <c r="L428" s="169">
        <v>0</v>
      </c>
      <c r="M428" s="167">
        <f>G428*L428</f>
        <v>0</v>
      </c>
      <c r="N428" s="170">
        <v>15</v>
      </c>
      <c r="O428" s="171">
        <v>16</v>
      </c>
      <c r="P428" s="14" t="s">
        <v>115</v>
      </c>
    </row>
    <row r="429" spans="4:19" s="14" customFormat="1" ht="15.75" customHeight="1" hidden="1" outlineLevel="1">
      <c r="D429" s="172"/>
      <c r="E429" s="173" t="s">
        <v>1433</v>
      </c>
      <c r="G429" s="174">
        <v>5.643</v>
      </c>
      <c r="P429" s="172"/>
      <c r="Q429" s="172"/>
      <c r="R429" s="172"/>
      <c r="S429" s="172"/>
    </row>
    <row r="430" spans="4:19" s="14" customFormat="1" ht="15.75" customHeight="1" hidden="1" outlineLevel="1">
      <c r="D430" s="172"/>
      <c r="E430" s="173" t="s">
        <v>1434</v>
      </c>
      <c r="G430" s="174">
        <v>26.399</v>
      </c>
      <c r="P430" s="172"/>
      <c r="Q430" s="172"/>
      <c r="R430" s="172"/>
      <c r="S430" s="172"/>
    </row>
    <row r="431" spans="4:19" s="14" customFormat="1" ht="15.75" customHeight="1" hidden="1" outlineLevel="1">
      <c r="D431" s="172"/>
      <c r="E431" s="173" t="s">
        <v>1435</v>
      </c>
      <c r="G431" s="174">
        <v>12.093</v>
      </c>
      <c r="P431" s="172"/>
      <c r="Q431" s="172"/>
      <c r="R431" s="172"/>
      <c r="S431" s="172"/>
    </row>
    <row r="432" spans="4:19" s="14" customFormat="1" ht="15.75" customHeight="1" hidden="1" outlineLevel="1">
      <c r="D432" s="172"/>
      <c r="E432" s="173" t="s">
        <v>1436</v>
      </c>
      <c r="G432" s="174">
        <v>12.423</v>
      </c>
      <c r="P432" s="172"/>
      <c r="Q432" s="172"/>
      <c r="R432" s="172"/>
      <c r="S432" s="172"/>
    </row>
    <row r="433" spans="4:19" s="14" customFormat="1" ht="15.75" customHeight="1" hidden="1" outlineLevel="1">
      <c r="D433" s="172"/>
      <c r="E433" s="173" t="s">
        <v>1437</v>
      </c>
      <c r="G433" s="174">
        <v>11.833</v>
      </c>
      <c r="P433" s="172"/>
      <c r="Q433" s="172"/>
      <c r="R433" s="172"/>
      <c r="S433" s="172"/>
    </row>
    <row r="434" spans="4:19" s="14" customFormat="1" ht="15.75" customHeight="1" hidden="1" outlineLevel="1">
      <c r="D434" s="172"/>
      <c r="E434" s="173" t="s">
        <v>1438</v>
      </c>
      <c r="G434" s="174">
        <v>11.833</v>
      </c>
      <c r="P434" s="172"/>
      <c r="Q434" s="172"/>
      <c r="R434" s="172"/>
      <c r="S434" s="172"/>
    </row>
    <row r="435" spans="1:16" s="14" customFormat="1" ht="13.5" customHeight="1">
      <c r="A435" s="179" t="s">
        <v>627</v>
      </c>
      <c r="B435" s="179" t="s">
        <v>146</v>
      </c>
      <c r="C435" s="179" t="s">
        <v>147</v>
      </c>
      <c r="D435" s="180" t="s">
        <v>628</v>
      </c>
      <c r="E435" s="181" t="s">
        <v>629</v>
      </c>
      <c r="F435" s="179" t="s">
        <v>124</v>
      </c>
      <c r="G435" s="182">
        <f>G428*1.1</f>
        <v>88.24640000000001</v>
      </c>
      <c r="H435" s="368"/>
      <c r="I435" s="183">
        <f>ROUND(G435*H435,2)</f>
        <v>0</v>
      </c>
      <c r="J435" s="184">
        <v>0.00017</v>
      </c>
      <c r="K435" s="182">
        <f>G435*J435</f>
        <v>0.015001888000000003</v>
      </c>
      <c r="L435" s="184">
        <v>0</v>
      </c>
      <c r="M435" s="182">
        <f>G435*L435</f>
        <v>0</v>
      </c>
      <c r="N435" s="185">
        <v>15</v>
      </c>
      <c r="O435" s="186">
        <v>32</v>
      </c>
      <c r="P435" s="187" t="s">
        <v>115</v>
      </c>
    </row>
    <row r="436" spans="1:16" s="14" customFormat="1" ht="24" customHeight="1" collapsed="1">
      <c r="A436" s="164" t="s">
        <v>630</v>
      </c>
      <c r="B436" s="164" t="s">
        <v>110</v>
      </c>
      <c r="C436" s="164" t="s">
        <v>600</v>
      </c>
      <c r="D436" s="165" t="s">
        <v>631</v>
      </c>
      <c r="E436" s="166" t="s">
        <v>632</v>
      </c>
      <c r="F436" s="164" t="s">
        <v>124</v>
      </c>
      <c r="G436" s="167">
        <f>SUM(G437:G440)</f>
        <v>56.55800000000001</v>
      </c>
      <c r="H436" s="367"/>
      <c r="I436" s="168">
        <f>ROUND(G436*H436,2)</f>
        <v>0</v>
      </c>
      <c r="J436" s="169">
        <v>0.01178</v>
      </c>
      <c r="K436" s="167">
        <f>G436*J436</f>
        <v>0.6662532400000001</v>
      </c>
      <c r="L436" s="169">
        <v>0</v>
      </c>
      <c r="M436" s="167">
        <f>G436*L436</f>
        <v>0</v>
      </c>
      <c r="N436" s="170">
        <v>15</v>
      </c>
      <c r="O436" s="171">
        <v>16</v>
      </c>
      <c r="P436" s="14" t="s">
        <v>115</v>
      </c>
    </row>
    <row r="437" spans="4:19" s="14" customFormat="1" ht="15.75" customHeight="1" hidden="1" outlineLevel="1">
      <c r="D437" s="172"/>
      <c r="E437" s="173" t="s">
        <v>633</v>
      </c>
      <c r="G437" s="174">
        <v>5.643</v>
      </c>
      <c r="P437" s="172" t="s">
        <v>115</v>
      </c>
      <c r="Q437" s="172" t="s">
        <v>115</v>
      </c>
      <c r="R437" s="172" t="s">
        <v>116</v>
      </c>
      <c r="S437" s="172" t="s">
        <v>106</v>
      </c>
    </row>
    <row r="438" spans="4:19" s="14" customFormat="1" ht="15.75" customHeight="1" hidden="1" outlineLevel="1">
      <c r="D438" s="172"/>
      <c r="E438" s="173" t="s">
        <v>634</v>
      </c>
      <c r="G438" s="174">
        <v>26.399</v>
      </c>
      <c r="P438" s="172" t="s">
        <v>115</v>
      </c>
      <c r="Q438" s="172" t="s">
        <v>115</v>
      </c>
      <c r="R438" s="172" t="s">
        <v>116</v>
      </c>
      <c r="S438" s="172" t="s">
        <v>106</v>
      </c>
    </row>
    <row r="439" spans="4:19" s="14" customFormat="1" ht="15.75" customHeight="1" hidden="1" outlineLevel="1">
      <c r="D439" s="172"/>
      <c r="E439" s="173" t="s">
        <v>635</v>
      </c>
      <c r="G439" s="174">
        <v>12.093</v>
      </c>
      <c r="P439" s="172" t="s">
        <v>115</v>
      </c>
      <c r="Q439" s="172" t="s">
        <v>115</v>
      </c>
      <c r="R439" s="172" t="s">
        <v>116</v>
      </c>
      <c r="S439" s="172" t="s">
        <v>106</v>
      </c>
    </row>
    <row r="440" spans="4:19" s="14" customFormat="1" ht="15.75" customHeight="1" hidden="1" outlineLevel="1">
      <c r="D440" s="172"/>
      <c r="E440" s="173" t="s">
        <v>636</v>
      </c>
      <c r="G440" s="174">
        <v>12.423</v>
      </c>
      <c r="P440" s="172" t="s">
        <v>115</v>
      </c>
      <c r="Q440" s="172" t="s">
        <v>115</v>
      </c>
      <c r="R440" s="172" t="s">
        <v>116</v>
      </c>
      <c r="S440" s="172" t="s">
        <v>106</v>
      </c>
    </row>
    <row r="441" spans="1:16" s="14" customFormat="1" ht="13.5" customHeight="1" collapsed="1">
      <c r="A441" s="164" t="s">
        <v>637</v>
      </c>
      <c r="B441" s="164" t="s">
        <v>110</v>
      </c>
      <c r="C441" s="164" t="s">
        <v>600</v>
      </c>
      <c r="D441" s="165" t="s">
        <v>638</v>
      </c>
      <c r="E441" s="166" t="s">
        <v>639</v>
      </c>
      <c r="F441" s="164" t="s">
        <v>124</v>
      </c>
      <c r="G441" s="167">
        <f>G442</f>
        <v>11.833</v>
      </c>
      <c r="H441" s="367"/>
      <c r="I441" s="168">
        <f>ROUND(G441*H441,2)</f>
        <v>0</v>
      </c>
      <c r="J441" s="169">
        <v>0.01188</v>
      </c>
      <c r="K441" s="167">
        <f>G441*J441</f>
        <v>0.14057604</v>
      </c>
      <c r="L441" s="169">
        <v>0</v>
      </c>
      <c r="M441" s="167">
        <f>G441*L441</f>
        <v>0</v>
      </c>
      <c r="N441" s="170">
        <v>15</v>
      </c>
      <c r="O441" s="171">
        <v>16</v>
      </c>
      <c r="P441" s="14" t="s">
        <v>115</v>
      </c>
    </row>
    <row r="442" spans="4:19" s="14" customFormat="1" ht="15.75" customHeight="1" hidden="1" outlineLevel="1">
      <c r="D442" s="172"/>
      <c r="E442" s="173" t="s">
        <v>640</v>
      </c>
      <c r="G442" s="174">
        <v>11.833</v>
      </c>
      <c r="P442" s="172" t="s">
        <v>115</v>
      </c>
      <c r="Q442" s="172" t="s">
        <v>115</v>
      </c>
      <c r="R442" s="172" t="s">
        <v>116</v>
      </c>
      <c r="S442" s="172" t="s">
        <v>106</v>
      </c>
    </row>
    <row r="443" spans="1:16" s="14" customFormat="1" ht="13.5" customHeight="1">
      <c r="A443" s="164" t="s">
        <v>641</v>
      </c>
      <c r="B443" s="164" t="s">
        <v>110</v>
      </c>
      <c r="C443" s="164" t="s">
        <v>600</v>
      </c>
      <c r="D443" s="165" t="s">
        <v>642</v>
      </c>
      <c r="E443" s="166" t="s">
        <v>643</v>
      </c>
      <c r="F443" s="164" t="s">
        <v>46</v>
      </c>
      <c r="G443" s="370">
        <f>SUBTOTAL(9,I413:I442)/100</f>
        <v>0</v>
      </c>
      <c r="H443" s="367"/>
      <c r="I443" s="168">
        <f>ROUND(G443*H443,2)</f>
        <v>0</v>
      </c>
      <c r="J443" s="169">
        <v>0</v>
      </c>
      <c r="K443" s="167">
        <f>G443*J443</f>
        <v>0</v>
      </c>
      <c r="L443" s="169">
        <v>0</v>
      </c>
      <c r="M443" s="167">
        <f>G443*L443</f>
        <v>0</v>
      </c>
      <c r="N443" s="170">
        <v>15</v>
      </c>
      <c r="O443" s="171">
        <v>16</v>
      </c>
      <c r="P443" s="14" t="s">
        <v>115</v>
      </c>
    </row>
    <row r="444" spans="2:16" s="133" customFormat="1" ht="12.75" customHeight="1">
      <c r="B444" s="138" t="s">
        <v>63</v>
      </c>
      <c r="D444" s="139" t="s">
        <v>644</v>
      </c>
      <c r="E444" s="139" t="s">
        <v>645</v>
      </c>
      <c r="I444" s="140">
        <f>SUM(I445:I468)</f>
        <v>0</v>
      </c>
      <c r="K444" s="141">
        <f>SUM(K445:K468)</f>
        <v>0.41180235</v>
      </c>
      <c r="M444" s="141">
        <f>SUM(M445:M468)</f>
        <v>0.8814488500000002</v>
      </c>
      <c r="P444" s="139" t="s">
        <v>109</v>
      </c>
    </row>
    <row r="445" spans="1:16" s="14" customFormat="1" ht="13.5" customHeight="1" collapsed="1">
      <c r="A445" s="164" t="s">
        <v>646</v>
      </c>
      <c r="B445" s="164" t="s">
        <v>110</v>
      </c>
      <c r="C445" s="164" t="s">
        <v>644</v>
      </c>
      <c r="D445" s="165" t="s">
        <v>1492</v>
      </c>
      <c r="E445" s="166" t="s">
        <v>1493</v>
      </c>
      <c r="F445" s="164" t="s">
        <v>124</v>
      </c>
      <c r="G445" s="167">
        <f>G446</f>
        <v>4.015</v>
      </c>
      <c r="H445" s="367"/>
      <c r="I445" s="168">
        <f>ROUND(G445*H445,2)</f>
        <v>0</v>
      </c>
      <c r="J445" s="169">
        <v>0.00777</v>
      </c>
      <c r="K445" s="167">
        <f>G445*J445</f>
        <v>0.031196549999999997</v>
      </c>
      <c r="L445" s="169">
        <v>0</v>
      </c>
      <c r="M445" s="167">
        <f>G445*L445</f>
        <v>0</v>
      </c>
      <c r="N445" s="170">
        <v>15</v>
      </c>
      <c r="O445" s="171">
        <v>16</v>
      </c>
      <c r="P445" s="14" t="s">
        <v>115</v>
      </c>
    </row>
    <row r="446" spans="4:19" s="14" customFormat="1" ht="15.75" customHeight="1" hidden="1" outlineLevel="1">
      <c r="D446" s="172"/>
      <c r="E446" s="173" t="s">
        <v>1439</v>
      </c>
      <c r="G446" s="174">
        <f>8.03/2</f>
        <v>4.015</v>
      </c>
      <c r="P446" s="172" t="s">
        <v>115</v>
      </c>
      <c r="Q446" s="172" t="s">
        <v>115</v>
      </c>
      <c r="R446" s="172" t="s">
        <v>116</v>
      </c>
      <c r="S446" s="172" t="s">
        <v>106</v>
      </c>
    </row>
    <row r="447" spans="1:16" s="14" customFormat="1" ht="13.5" customHeight="1" collapsed="1">
      <c r="A447" s="164" t="s">
        <v>647</v>
      </c>
      <c r="B447" s="164" t="s">
        <v>110</v>
      </c>
      <c r="C447" s="164" t="s">
        <v>644</v>
      </c>
      <c r="D447" s="165" t="s">
        <v>648</v>
      </c>
      <c r="E447" s="166" t="s">
        <v>649</v>
      </c>
      <c r="F447" s="164" t="s">
        <v>124</v>
      </c>
      <c r="G447" s="167">
        <f>SUM(G448:G454)</f>
        <v>23.45</v>
      </c>
      <c r="H447" s="367"/>
      <c r="I447" s="168">
        <f>ROUND(G447*H447,2)</f>
        <v>0</v>
      </c>
      <c r="J447" s="169">
        <v>0.00674</v>
      </c>
      <c r="K447" s="167">
        <f>G447*J447</f>
        <v>0.158053</v>
      </c>
      <c r="L447" s="169">
        <v>0</v>
      </c>
      <c r="M447" s="167">
        <f>G447*L447</f>
        <v>0</v>
      </c>
      <c r="N447" s="170">
        <v>15</v>
      </c>
      <c r="O447" s="171">
        <v>16</v>
      </c>
      <c r="P447" s="14" t="s">
        <v>115</v>
      </c>
    </row>
    <row r="448" spans="4:19" s="14" customFormat="1" ht="15.75" customHeight="1" hidden="1" outlineLevel="1">
      <c r="D448" s="172"/>
      <c r="E448" s="173" t="s">
        <v>650</v>
      </c>
      <c r="G448" s="174">
        <v>1.44</v>
      </c>
      <c r="P448" s="172" t="s">
        <v>115</v>
      </c>
      <c r="Q448" s="172" t="s">
        <v>115</v>
      </c>
      <c r="R448" s="172" t="s">
        <v>116</v>
      </c>
      <c r="S448" s="172" t="s">
        <v>106</v>
      </c>
    </row>
    <row r="449" spans="4:19" s="14" customFormat="1" ht="15.75" customHeight="1" hidden="1" outlineLevel="1">
      <c r="D449" s="172"/>
      <c r="E449" s="173" t="s">
        <v>1440</v>
      </c>
      <c r="G449" s="174">
        <f>(0.5+1.8)*0.8</f>
        <v>1.8399999999999999</v>
      </c>
      <c r="P449" s="172" t="s">
        <v>115</v>
      </c>
      <c r="Q449" s="172" t="s">
        <v>115</v>
      </c>
      <c r="R449" s="172" t="s">
        <v>116</v>
      </c>
      <c r="S449" s="172" t="s">
        <v>106</v>
      </c>
    </row>
    <row r="450" spans="4:19" s="14" customFormat="1" ht="15.75" customHeight="1" hidden="1" outlineLevel="1">
      <c r="D450" s="172"/>
      <c r="E450" s="173" t="s">
        <v>1441</v>
      </c>
      <c r="G450" s="174">
        <f>(0.85*2+2)*0.5</f>
        <v>1.85</v>
      </c>
      <c r="P450" s="172" t="s">
        <v>115</v>
      </c>
      <c r="Q450" s="172" t="s">
        <v>115</v>
      </c>
      <c r="R450" s="172" t="s">
        <v>116</v>
      </c>
      <c r="S450" s="172" t="s">
        <v>106</v>
      </c>
    </row>
    <row r="451" spans="4:19" s="14" customFormat="1" ht="15.75" customHeight="1" hidden="1" outlineLevel="1">
      <c r="D451" s="172"/>
      <c r="E451" s="173" t="s">
        <v>1442</v>
      </c>
      <c r="G451" s="174">
        <f>(2.5+0.5)*2*0.8</f>
        <v>4.800000000000001</v>
      </c>
      <c r="P451" s="172" t="s">
        <v>115</v>
      </c>
      <c r="Q451" s="172" t="s">
        <v>115</v>
      </c>
      <c r="R451" s="172" t="s">
        <v>116</v>
      </c>
      <c r="S451" s="172" t="s">
        <v>106</v>
      </c>
    </row>
    <row r="452" spans="4:19" s="14" customFormat="1" ht="15.75" customHeight="1" hidden="1" outlineLevel="1">
      <c r="D452" s="172"/>
      <c r="E452" s="173" t="s">
        <v>1443</v>
      </c>
      <c r="G452" s="174">
        <f>(1.8+0.5)*2*0.8</f>
        <v>3.6799999999999997</v>
      </c>
      <c r="P452" s="172" t="s">
        <v>115</v>
      </c>
      <c r="Q452" s="172" t="s">
        <v>115</v>
      </c>
      <c r="R452" s="172" t="s">
        <v>116</v>
      </c>
      <c r="S452" s="172" t="s">
        <v>106</v>
      </c>
    </row>
    <row r="453" spans="4:19" s="14" customFormat="1" ht="15.75" customHeight="1" hidden="1" outlineLevel="1">
      <c r="D453" s="172"/>
      <c r="E453" s="173" t="s">
        <v>1445</v>
      </c>
      <c r="G453" s="174">
        <f>(2.1+0.5*2+2.8)*2*0.8/2</f>
        <v>4.720000000000001</v>
      </c>
      <c r="P453" s="172" t="s">
        <v>115</v>
      </c>
      <c r="Q453" s="172" t="s">
        <v>115</v>
      </c>
      <c r="R453" s="172" t="s">
        <v>116</v>
      </c>
      <c r="S453" s="172" t="s">
        <v>106</v>
      </c>
    </row>
    <row r="454" spans="4:19" s="14" customFormat="1" ht="15.75" customHeight="1" hidden="1" outlineLevel="1">
      <c r="D454" s="172"/>
      <c r="E454" s="173" t="s">
        <v>1444</v>
      </c>
      <c r="G454" s="174">
        <f>(1.4+1.8)*2*0.8</f>
        <v>5.120000000000001</v>
      </c>
      <c r="P454" s="172" t="s">
        <v>115</v>
      </c>
      <c r="Q454" s="172" t="s">
        <v>115</v>
      </c>
      <c r="R454" s="172" t="s">
        <v>116</v>
      </c>
      <c r="S454" s="172" t="s">
        <v>106</v>
      </c>
    </row>
    <row r="455" spans="1:16" s="14" customFormat="1" ht="13.5" customHeight="1" collapsed="1">
      <c r="A455" s="164" t="s">
        <v>651</v>
      </c>
      <c r="B455" s="164" t="s">
        <v>110</v>
      </c>
      <c r="C455" s="164" t="s">
        <v>644</v>
      </c>
      <c r="D455" s="165" t="s">
        <v>652</v>
      </c>
      <c r="E455" s="166" t="s">
        <v>653</v>
      </c>
      <c r="F455" s="164" t="s">
        <v>385</v>
      </c>
      <c r="G455" s="167">
        <v>22.46</v>
      </c>
      <c r="H455" s="367"/>
      <c r="I455" s="168">
        <f>ROUND(G455*H455,2)</f>
        <v>0</v>
      </c>
      <c r="J455" s="169">
        <v>0.00328</v>
      </c>
      <c r="K455" s="167">
        <f>G455*J455</f>
        <v>0.0736688</v>
      </c>
      <c r="L455" s="169">
        <v>0</v>
      </c>
      <c r="M455" s="167">
        <f>G455*L455</f>
        <v>0</v>
      </c>
      <c r="N455" s="170">
        <v>15</v>
      </c>
      <c r="O455" s="171">
        <v>16</v>
      </c>
      <c r="P455" s="14" t="s">
        <v>115</v>
      </c>
    </row>
    <row r="456" spans="4:19" s="14" customFormat="1" ht="15.75" customHeight="1" hidden="1" outlineLevel="1">
      <c r="D456" s="172"/>
      <c r="E456" s="173">
        <v>22.46</v>
      </c>
      <c r="G456" s="174">
        <v>22.46</v>
      </c>
      <c r="P456" s="172" t="s">
        <v>115</v>
      </c>
      <c r="Q456" s="172" t="s">
        <v>115</v>
      </c>
      <c r="R456" s="172" t="s">
        <v>116</v>
      </c>
      <c r="S456" s="172" t="s">
        <v>106</v>
      </c>
    </row>
    <row r="457" spans="1:16" s="14" customFormat="1" ht="13.5" customHeight="1">
      <c r="A457" s="164" t="s">
        <v>654</v>
      </c>
      <c r="B457" s="164" t="s">
        <v>110</v>
      </c>
      <c r="C457" s="164" t="s">
        <v>644</v>
      </c>
      <c r="D457" s="165" t="s">
        <v>655</v>
      </c>
      <c r="E457" s="166" t="s">
        <v>656</v>
      </c>
      <c r="F457" s="164" t="s">
        <v>143</v>
      </c>
      <c r="G457" s="167">
        <v>2</v>
      </c>
      <c r="H457" s="367"/>
      <c r="I457" s="168">
        <f>ROUND(G457*H457,2)</f>
        <v>0</v>
      </c>
      <c r="J457" s="169">
        <v>0.00373</v>
      </c>
      <c r="K457" s="167">
        <f>G457*J457</f>
        <v>0.00746</v>
      </c>
      <c r="L457" s="169">
        <v>0</v>
      </c>
      <c r="M457" s="167">
        <f>G457*L457</f>
        <v>0</v>
      </c>
      <c r="N457" s="170">
        <v>15</v>
      </c>
      <c r="O457" s="171">
        <v>16</v>
      </c>
      <c r="P457" s="14" t="s">
        <v>115</v>
      </c>
    </row>
    <row r="458" spans="1:16" s="14" customFormat="1" ht="13.5" customHeight="1" collapsed="1">
      <c r="A458" s="164" t="s">
        <v>657</v>
      </c>
      <c r="B458" s="164" t="s">
        <v>110</v>
      </c>
      <c r="C458" s="164" t="s">
        <v>644</v>
      </c>
      <c r="D458" s="165" t="s">
        <v>658</v>
      </c>
      <c r="E458" s="166" t="s">
        <v>659</v>
      </c>
      <c r="F458" s="164" t="s">
        <v>124</v>
      </c>
      <c r="G458" s="167">
        <f>G459</f>
        <v>93.13500000000002</v>
      </c>
      <c r="H458" s="367"/>
      <c r="I458" s="168">
        <f>ROUND(G458*H458,2)</f>
        <v>0</v>
      </c>
      <c r="J458" s="169">
        <v>0</v>
      </c>
      <c r="K458" s="167">
        <f>G458*J458</f>
        <v>0</v>
      </c>
      <c r="L458" s="169">
        <v>0.00751</v>
      </c>
      <c r="M458" s="167">
        <f>G458*L458</f>
        <v>0.6994438500000002</v>
      </c>
      <c r="N458" s="170">
        <v>15</v>
      </c>
      <c r="O458" s="171">
        <v>16</v>
      </c>
      <c r="P458" s="14" t="s">
        <v>115</v>
      </c>
    </row>
    <row r="459" spans="4:19" s="14" customFormat="1" ht="15.75" customHeight="1" hidden="1" outlineLevel="1">
      <c r="D459" s="172"/>
      <c r="E459" s="173" t="s">
        <v>1421</v>
      </c>
      <c r="G459" s="174">
        <f>(10.3*14.9+4.1*4*2)/2</f>
        <v>93.13500000000002</v>
      </c>
      <c r="P459" s="172" t="s">
        <v>115</v>
      </c>
      <c r="Q459" s="172" t="s">
        <v>115</v>
      </c>
      <c r="R459" s="172" t="s">
        <v>116</v>
      </c>
      <c r="S459" s="172" t="s">
        <v>106</v>
      </c>
    </row>
    <row r="460" spans="1:16" s="14" customFormat="1" ht="13.5" customHeight="1" collapsed="1">
      <c r="A460" s="164" t="s">
        <v>660</v>
      </c>
      <c r="B460" s="164" t="s">
        <v>110</v>
      </c>
      <c r="C460" s="164" t="s">
        <v>644</v>
      </c>
      <c r="D460" s="165" t="s">
        <v>661</v>
      </c>
      <c r="E460" s="166" t="s">
        <v>662</v>
      </c>
      <c r="F460" s="164" t="s">
        <v>385</v>
      </c>
      <c r="G460" s="167">
        <f>G461</f>
        <v>40.9</v>
      </c>
      <c r="H460" s="367"/>
      <c r="I460" s="168">
        <f>ROUND(G460*H460,2)</f>
        <v>0</v>
      </c>
      <c r="J460" s="169">
        <v>0</v>
      </c>
      <c r="K460" s="167">
        <f>G460*J460</f>
        <v>0</v>
      </c>
      <c r="L460" s="169">
        <v>0.00445</v>
      </c>
      <c r="M460" s="167">
        <f>G460*L460</f>
        <v>0.182005</v>
      </c>
      <c r="N460" s="170">
        <v>15</v>
      </c>
      <c r="O460" s="171">
        <v>16</v>
      </c>
      <c r="P460" s="14" t="s">
        <v>115</v>
      </c>
    </row>
    <row r="461" spans="4:19" s="14" customFormat="1" ht="15.75" customHeight="1" hidden="1" outlineLevel="1">
      <c r="D461" s="172"/>
      <c r="E461" s="173" t="s">
        <v>1446</v>
      </c>
      <c r="G461" s="174">
        <f>21.9+19</f>
        <v>40.9</v>
      </c>
      <c r="P461" s="172" t="s">
        <v>115</v>
      </c>
      <c r="Q461" s="172" t="s">
        <v>115</v>
      </c>
      <c r="R461" s="172" t="s">
        <v>116</v>
      </c>
      <c r="S461" s="172" t="s">
        <v>106</v>
      </c>
    </row>
    <row r="462" spans="1:16" s="14" customFormat="1" ht="13.5" customHeight="1" collapsed="1">
      <c r="A462" s="164" t="s">
        <v>663</v>
      </c>
      <c r="B462" s="164" t="s">
        <v>110</v>
      </c>
      <c r="C462" s="164" t="s">
        <v>644</v>
      </c>
      <c r="D462" s="165" t="s">
        <v>664</v>
      </c>
      <c r="E462" s="166" t="s">
        <v>665</v>
      </c>
      <c r="F462" s="164" t="s">
        <v>385</v>
      </c>
      <c r="G462" s="167">
        <f>G463</f>
        <v>4.65</v>
      </c>
      <c r="H462" s="367"/>
      <c r="I462" s="168">
        <f>ROUND(G462*H462,2)</f>
        <v>0</v>
      </c>
      <c r="J462" s="169">
        <v>0.0013</v>
      </c>
      <c r="K462" s="167">
        <f>G462*J462</f>
        <v>0.006045</v>
      </c>
      <c r="L462" s="169">
        <v>0</v>
      </c>
      <c r="M462" s="167">
        <f>G462*L462</f>
        <v>0</v>
      </c>
      <c r="N462" s="170">
        <v>15</v>
      </c>
      <c r="O462" s="171">
        <v>16</v>
      </c>
      <c r="P462" s="14" t="s">
        <v>115</v>
      </c>
    </row>
    <row r="463" spans="4:19" s="14" customFormat="1" ht="15.75" customHeight="1" hidden="1" outlineLevel="1">
      <c r="D463" s="172"/>
      <c r="E463" s="173" t="s">
        <v>1447</v>
      </c>
      <c r="G463" s="174">
        <f>2.05+1.3*2</f>
        <v>4.65</v>
      </c>
      <c r="P463" s="172" t="s">
        <v>115</v>
      </c>
      <c r="Q463" s="172" t="s">
        <v>115</v>
      </c>
      <c r="R463" s="172" t="s">
        <v>116</v>
      </c>
      <c r="S463" s="172" t="s">
        <v>106</v>
      </c>
    </row>
    <row r="464" spans="1:16" s="14" customFormat="1" ht="13.5" customHeight="1" collapsed="1">
      <c r="A464" s="164" t="s">
        <v>666</v>
      </c>
      <c r="B464" s="164" t="s">
        <v>110</v>
      </c>
      <c r="C464" s="164" t="s">
        <v>644</v>
      </c>
      <c r="D464" s="165" t="s">
        <v>667</v>
      </c>
      <c r="E464" s="166" t="s">
        <v>668</v>
      </c>
      <c r="F464" s="164" t="s">
        <v>385</v>
      </c>
      <c r="G464" s="167">
        <f>G465</f>
        <v>40.9</v>
      </c>
      <c r="H464" s="367"/>
      <c r="I464" s="168">
        <f>ROUND(G464*H464,2)</f>
        <v>0</v>
      </c>
      <c r="J464" s="169">
        <v>0.00331</v>
      </c>
      <c r="K464" s="167">
        <f>G464*J464</f>
        <v>0.135379</v>
      </c>
      <c r="L464" s="169">
        <v>0</v>
      </c>
      <c r="M464" s="167">
        <f>G464*L464</f>
        <v>0</v>
      </c>
      <c r="N464" s="170">
        <v>15</v>
      </c>
      <c r="O464" s="171">
        <v>16</v>
      </c>
      <c r="P464" s="14" t="s">
        <v>115</v>
      </c>
    </row>
    <row r="465" spans="4:19" s="14" customFormat="1" ht="15.75" customHeight="1" hidden="1" outlineLevel="1">
      <c r="D465" s="172"/>
      <c r="E465" s="173" t="s">
        <v>1446</v>
      </c>
      <c r="G465" s="174">
        <f>21.9+19</f>
        <v>40.9</v>
      </c>
      <c r="P465" s="172" t="s">
        <v>115</v>
      </c>
      <c r="Q465" s="172" t="s">
        <v>115</v>
      </c>
      <c r="R465" s="172" t="s">
        <v>116</v>
      </c>
      <c r="S465" s="172" t="s">
        <v>106</v>
      </c>
    </row>
    <row r="466" spans="1:16" s="14" customFormat="1" ht="13.5" customHeight="1">
      <c r="A466" s="164" t="s">
        <v>669</v>
      </c>
      <c r="B466" s="164" t="s">
        <v>110</v>
      </c>
      <c r="C466" s="164" t="s">
        <v>345</v>
      </c>
      <c r="D466" s="165" t="s">
        <v>670</v>
      </c>
      <c r="E466" s="166" t="s">
        <v>671</v>
      </c>
      <c r="F466" s="164" t="s">
        <v>167</v>
      </c>
      <c r="G466" s="167">
        <v>0.5</v>
      </c>
      <c r="H466" s="367"/>
      <c r="I466" s="168">
        <f>ROUND(G466*H466,2)</f>
        <v>0</v>
      </c>
      <c r="J466" s="169">
        <v>0</v>
      </c>
      <c r="K466" s="167">
        <f>G466*J466</f>
        <v>0</v>
      </c>
      <c r="L466" s="169">
        <v>0</v>
      </c>
      <c r="M466" s="167">
        <f>G466*L466</f>
        <v>0</v>
      </c>
      <c r="N466" s="170">
        <v>15</v>
      </c>
      <c r="O466" s="171">
        <v>16</v>
      </c>
      <c r="P466" s="14" t="s">
        <v>115</v>
      </c>
    </row>
    <row r="467" spans="1:16" s="14" customFormat="1" ht="13.5" customHeight="1">
      <c r="A467" s="164" t="s">
        <v>669</v>
      </c>
      <c r="B467" s="164" t="s">
        <v>110</v>
      </c>
      <c r="C467" s="164" t="s">
        <v>345</v>
      </c>
      <c r="D467" s="165" t="s">
        <v>1494</v>
      </c>
      <c r="E467" s="166" t="s">
        <v>1495</v>
      </c>
      <c r="F467" s="164" t="s">
        <v>167</v>
      </c>
      <c r="G467" s="167">
        <v>0.5</v>
      </c>
      <c r="H467" s="367"/>
      <c r="I467" s="168">
        <f>ROUND(G467*H467,2)</f>
        <v>0</v>
      </c>
      <c r="J467" s="169">
        <v>0</v>
      </c>
      <c r="K467" s="167">
        <f>G467*J467</f>
        <v>0</v>
      </c>
      <c r="L467" s="169">
        <v>0</v>
      </c>
      <c r="M467" s="167">
        <f>G467*L467</f>
        <v>0</v>
      </c>
      <c r="N467" s="170">
        <v>15</v>
      </c>
      <c r="O467" s="171">
        <v>16</v>
      </c>
      <c r="P467" s="14" t="s">
        <v>115</v>
      </c>
    </row>
    <row r="468" spans="1:16" s="14" customFormat="1" ht="13.5" customHeight="1">
      <c r="A468" s="164" t="s">
        <v>672</v>
      </c>
      <c r="B468" s="164" t="s">
        <v>110</v>
      </c>
      <c r="C468" s="164" t="s">
        <v>644</v>
      </c>
      <c r="D468" s="165" t="s">
        <v>673</v>
      </c>
      <c r="E468" s="166" t="s">
        <v>674</v>
      </c>
      <c r="F468" s="164" t="s">
        <v>46</v>
      </c>
      <c r="G468" s="370">
        <f>SUBTOTAL(9,I445:I467)/100</f>
        <v>0</v>
      </c>
      <c r="H468" s="367"/>
      <c r="I468" s="168">
        <f>ROUND(G468*H468,2)</f>
        <v>0</v>
      </c>
      <c r="J468" s="169">
        <v>0</v>
      </c>
      <c r="K468" s="167">
        <f>G468*J468</f>
        <v>0</v>
      </c>
      <c r="L468" s="169">
        <v>0</v>
      </c>
      <c r="M468" s="167">
        <f>G468*L468</f>
        <v>0</v>
      </c>
      <c r="N468" s="170">
        <v>15</v>
      </c>
      <c r="O468" s="171">
        <v>16</v>
      </c>
      <c r="P468" s="14" t="s">
        <v>115</v>
      </c>
    </row>
    <row r="469" spans="2:16" s="133" customFormat="1" ht="12.75" customHeight="1">
      <c r="B469" s="138" t="s">
        <v>63</v>
      </c>
      <c r="D469" s="139" t="s">
        <v>675</v>
      </c>
      <c r="E469" s="139" t="s">
        <v>676</v>
      </c>
      <c r="I469" s="140">
        <f>SUM(I470:I483)</f>
        <v>0</v>
      </c>
      <c r="K469" s="141">
        <f>SUM(K470:K483)</f>
        <v>12.009669671500001</v>
      </c>
      <c r="M469" s="141">
        <f>SUM(M470:M483)</f>
        <v>5.41824</v>
      </c>
      <c r="P469" s="139" t="s">
        <v>109</v>
      </c>
    </row>
    <row r="470" spans="1:16" s="14" customFormat="1" ht="24" customHeight="1" collapsed="1">
      <c r="A470" s="164" t="s">
        <v>677</v>
      </c>
      <c r="B470" s="164" t="s">
        <v>110</v>
      </c>
      <c r="C470" s="164" t="s">
        <v>675</v>
      </c>
      <c r="D470" s="165" t="s">
        <v>678</v>
      </c>
      <c r="E470" s="166" t="s">
        <v>679</v>
      </c>
      <c r="F470" s="164" t="s">
        <v>124</v>
      </c>
      <c r="G470" s="167">
        <f>G471</f>
        <v>151.067</v>
      </c>
      <c r="H470" s="367"/>
      <c r="I470" s="168">
        <f>ROUND(G470*H470,2)</f>
        <v>0</v>
      </c>
      <c r="J470" s="169">
        <v>0</v>
      </c>
      <c r="K470" s="167">
        <f>G470*J470</f>
        <v>0</v>
      </c>
      <c r="L470" s="169">
        <v>0</v>
      </c>
      <c r="M470" s="167">
        <f>G470*L470</f>
        <v>0</v>
      </c>
      <c r="N470" s="170">
        <v>15</v>
      </c>
      <c r="O470" s="171">
        <v>16</v>
      </c>
      <c r="P470" s="14" t="s">
        <v>115</v>
      </c>
    </row>
    <row r="471" spans="4:19" s="14" customFormat="1" ht="15.75" customHeight="1" hidden="1" outlineLevel="1">
      <c r="D471" s="172"/>
      <c r="E471" s="173" t="s">
        <v>1422</v>
      </c>
      <c r="G471" s="174">
        <f>302.134/2</f>
        <v>151.067</v>
      </c>
      <c r="P471" s="172" t="s">
        <v>115</v>
      </c>
      <c r="Q471" s="172" t="s">
        <v>115</v>
      </c>
      <c r="R471" s="172" t="s">
        <v>116</v>
      </c>
      <c r="S471" s="172" t="s">
        <v>106</v>
      </c>
    </row>
    <row r="472" spans="1:16" s="14" customFormat="1" ht="13.5" customHeight="1">
      <c r="A472" s="179" t="s">
        <v>680</v>
      </c>
      <c r="B472" s="179" t="s">
        <v>146</v>
      </c>
      <c r="C472" s="179" t="s">
        <v>147</v>
      </c>
      <c r="D472" s="180" t="s">
        <v>681</v>
      </c>
      <c r="E472" s="181" t="s">
        <v>682</v>
      </c>
      <c r="F472" s="179" t="s">
        <v>143</v>
      </c>
      <c r="G472" s="182">
        <f>G470*36</f>
        <v>5438.412</v>
      </c>
      <c r="H472" s="368"/>
      <c r="I472" s="183">
        <f>ROUND(G472*H472,2)</f>
        <v>0</v>
      </c>
      <c r="J472" s="184">
        <v>0.0022</v>
      </c>
      <c r="K472" s="182">
        <f>G472*J472</f>
        <v>11.964506400000001</v>
      </c>
      <c r="L472" s="184">
        <v>0</v>
      </c>
      <c r="M472" s="182">
        <f>G472*L472</f>
        <v>0</v>
      </c>
      <c r="N472" s="185">
        <v>15</v>
      </c>
      <c r="O472" s="186">
        <v>32</v>
      </c>
      <c r="P472" s="187" t="s">
        <v>115</v>
      </c>
    </row>
    <row r="473" spans="1:16" s="14" customFormat="1" ht="24" customHeight="1">
      <c r="A473" s="164" t="s">
        <v>683</v>
      </c>
      <c r="B473" s="164" t="s">
        <v>110</v>
      </c>
      <c r="C473" s="164" t="s">
        <v>675</v>
      </c>
      <c r="D473" s="165" t="s">
        <v>684</v>
      </c>
      <c r="E473" s="166" t="s">
        <v>685</v>
      </c>
      <c r="F473" s="164" t="s">
        <v>124</v>
      </c>
      <c r="G473" s="167">
        <v>60</v>
      </c>
      <c r="H473" s="367"/>
      <c r="I473" s="168">
        <f>ROUND(G473*H473,2)</f>
        <v>0</v>
      </c>
      <c r="J473" s="169">
        <v>0</v>
      </c>
      <c r="K473" s="167">
        <f>G473*J473</f>
        <v>0</v>
      </c>
      <c r="L473" s="169">
        <v>0</v>
      </c>
      <c r="M473" s="167">
        <f>G473*L473</f>
        <v>0</v>
      </c>
      <c r="N473" s="170">
        <v>15</v>
      </c>
      <c r="O473" s="171">
        <v>16</v>
      </c>
      <c r="P473" s="14" t="s">
        <v>115</v>
      </c>
    </row>
    <row r="474" spans="1:16" s="14" customFormat="1" ht="13.5" customHeight="1" collapsed="1">
      <c r="A474" s="164" t="s">
        <v>686</v>
      </c>
      <c r="B474" s="164" t="s">
        <v>110</v>
      </c>
      <c r="C474" s="164" t="s">
        <v>675</v>
      </c>
      <c r="D474" s="165" t="s">
        <v>687</v>
      </c>
      <c r="E474" s="166" t="s">
        <v>688</v>
      </c>
      <c r="F474" s="164" t="s">
        <v>124</v>
      </c>
      <c r="G474" s="167">
        <f>SUM(G475:G476)</f>
        <v>81.6</v>
      </c>
      <c r="H474" s="367"/>
      <c r="I474" s="168">
        <f>ROUND(G474*H474,2)</f>
        <v>0</v>
      </c>
      <c r="J474" s="169">
        <v>0</v>
      </c>
      <c r="K474" s="167">
        <f>G474*J474</f>
        <v>0</v>
      </c>
      <c r="L474" s="169">
        <v>0.0664</v>
      </c>
      <c r="M474" s="167">
        <f>G474*L474</f>
        <v>5.41824</v>
      </c>
      <c r="N474" s="170">
        <v>15</v>
      </c>
      <c r="O474" s="171">
        <v>16</v>
      </c>
      <c r="P474" s="14" t="s">
        <v>115</v>
      </c>
    </row>
    <row r="475" spans="4:19" s="14" customFormat="1" ht="15.75" customHeight="1" hidden="1" outlineLevel="1">
      <c r="D475" s="172"/>
      <c r="E475" s="173" t="s">
        <v>1425</v>
      </c>
      <c r="G475" s="174">
        <f>((9.9+6.3)/2*3.35+6.3*4.35)</f>
        <v>54.53999999999999</v>
      </c>
      <c r="P475" s="172" t="s">
        <v>115</v>
      </c>
      <c r="Q475" s="172" t="s">
        <v>115</v>
      </c>
      <c r="R475" s="172" t="s">
        <v>116</v>
      </c>
      <c r="S475" s="172" t="s">
        <v>106</v>
      </c>
    </row>
    <row r="476" spans="4:19" s="14" customFormat="1" ht="15.75" customHeight="1" hidden="1" outlineLevel="1">
      <c r="D476" s="172"/>
      <c r="E476" s="173" t="s">
        <v>1426</v>
      </c>
      <c r="G476" s="174">
        <f>(4.1)*6.6</f>
        <v>27.059999999999995</v>
      </c>
      <c r="P476" s="172" t="s">
        <v>115</v>
      </c>
      <c r="Q476" s="172" t="s">
        <v>115</v>
      </c>
      <c r="R476" s="172" t="s">
        <v>116</v>
      </c>
      <c r="S476" s="172" t="s">
        <v>106</v>
      </c>
    </row>
    <row r="477" spans="1:16" s="14" customFormat="1" ht="24" customHeight="1" collapsed="1">
      <c r="A477" s="164" t="s">
        <v>689</v>
      </c>
      <c r="B477" s="164" t="s">
        <v>110</v>
      </c>
      <c r="C477" s="164" t="s">
        <v>675</v>
      </c>
      <c r="D477" s="165" t="s">
        <v>690</v>
      </c>
      <c r="E477" s="166" t="s">
        <v>691</v>
      </c>
      <c r="F477" s="164" t="s">
        <v>124</v>
      </c>
      <c r="G477" s="167">
        <f>G478</f>
        <v>2.35755</v>
      </c>
      <c r="H477" s="367"/>
      <c r="I477" s="168">
        <f>ROUND(G477*H477,2)</f>
        <v>0</v>
      </c>
      <c r="J477" s="169">
        <v>0.00365</v>
      </c>
      <c r="K477" s="167">
        <f>G477*J477</f>
        <v>0.008605057499999999</v>
      </c>
      <c r="L477" s="169">
        <v>0</v>
      </c>
      <c r="M477" s="167">
        <f>G477*L477</f>
        <v>0</v>
      </c>
      <c r="N477" s="170">
        <v>15</v>
      </c>
      <c r="O477" s="171">
        <v>16</v>
      </c>
      <c r="P477" s="14" t="s">
        <v>115</v>
      </c>
    </row>
    <row r="478" spans="4:19" s="14" customFormat="1" ht="15.75" customHeight="1" hidden="1" outlineLevel="1">
      <c r="D478" s="172"/>
      <c r="E478" s="173" t="s">
        <v>1448</v>
      </c>
      <c r="G478" s="174">
        <f>1.395*1.69</f>
        <v>2.35755</v>
      </c>
      <c r="P478" s="172" t="s">
        <v>115</v>
      </c>
      <c r="Q478" s="172" t="s">
        <v>115</v>
      </c>
      <c r="R478" s="172" t="s">
        <v>116</v>
      </c>
      <c r="S478" s="172" t="s">
        <v>106</v>
      </c>
    </row>
    <row r="479" spans="1:16" s="14" customFormat="1" ht="24" customHeight="1" collapsed="1">
      <c r="A479" s="164" t="s">
        <v>692</v>
      </c>
      <c r="B479" s="164" t="s">
        <v>110</v>
      </c>
      <c r="C479" s="164" t="s">
        <v>675</v>
      </c>
      <c r="D479" s="165" t="s">
        <v>693</v>
      </c>
      <c r="E479" s="166" t="s">
        <v>694</v>
      </c>
      <c r="F479" s="164" t="s">
        <v>124</v>
      </c>
      <c r="G479" s="167">
        <f>SUM(G480)</f>
        <v>151.067</v>
      </c>
      <c r="H479" s="367"/>
      <c r="I479" s="168">
        <f>ROUND(G479*H479,2)</f>
        <v>0</v>
      </c>
      <c r="J479" s="169">
        <v>0</v>
      </c>
      <c r="K479" s="167">
        <f>G479*J479</f>
        <v>0</v>
      </c>
      <c r="L479" s="169">
        <v>0</v>
      </c>
      <c r="M479" s="167">
        <f>G479*L479</f>
        <v>0</v>
      </c>
      <c r="N479" s="170">
        <v>15</v>
      </c>
      <c r="O479" s="171">
        <v>16</v>
      </c>
      <c r="P479" s="14" t="s">
        <v>115</v>
      </c>
    </row>
    <row r="480" spans="4:19" s="14" customFormat="1" ht="15.75" customHeight="1" hidden="1" outlineLevel="1">
      <c r="D480" s="172"/>
      <c r="E480" s="173" t="s">
        <v>1422</v>
      </c>
      <c r="G480" s="174">
        <f>302.134/2</f>
        <v>151.067</v>
      </c>
      <c r="P480" s="172" t="s">
        <v>115</v>
      </c>
      <c r="Q480" s="172" t="s">
        <v>115</v>
      </c>
      <c r="R480" s="172" t="s">
        <v>116</v>
      </c>
      <c r="S480" s="172" t="s">
        <v>109</v>
      </c>
    </row>
    <row r="481" spans="1:16" s="14" customFormat="1" ht="13.5" customHeight="1">
      <c r="A481" s="179" t="s">
        <v>695</v>
      </c>
      <c r="B481" s="179" t="s">
        <v>146</v>
      </c>
      <c r="C481" s="179" t="s">
        <v>147</v>
      </c>
      <c r="D481" s="180" t="s">
        <v>696</v>
      </c>
      <c r="E481" s="181" t="s">
        <v>697</v>
      </c>
      <c r="F481" s="179" t="s">
        <v>124</v>
      </c>
      <c r="G481" s="182">
        <f>G479*1.1</f>
        <v>166.17370000000003</v>
      </c>
      <c r="H481" s="368"/>
      <c r="I481" s="183">
        <f>ROUND(G481*H481,2)</f>
        <v>0</v>
      </c>
      <c r="J481" s="184">
        <v>0.00022</v>
      </c>
      <c r="K481" s="182">
        <f>G481*J481</f>
        <v>0.036558214000000006</v>
      </c>
      <c r="L481" s="184">
        <v>0</v>
      </c>
      <c r="M481" s="182">
        <f>G481*L481</f>
        <v>0</v>
      </c>
      <c r="N481" s="185">
        <v>15</v>
      </c>
      <c r="O481" s="186">
        <v>32</v>
      </c>
      <c r="P481" s="187" t="s">
        <v>115</v>
      </c>
    </row>
    <row r="482" spans="1:16" s="14" customFormat="1" ht="13.5" customHeight="1">
      <c r="A482" s="164" t="s">
        <v>698</v>
      </c>
      <c r="B482" s="164" t="s">
        <v>110</v>
      </c>
      <c r="C482" s="164" t="s">
        <v>675</v>
      </c>
      <c r="D482" s="165" t="s">
        <v>699</v>
      </c>
      <c r="E482" s="166" t="s">
        <v>700</v>
      </c>
      <c r="F482" s="164" t="s">
        <v>124</v>
      </c>
      <c r="G482" s="167">
        <v>60</v>
      </c>
      <c r="H482" s="367"/>
      <c r="I482" s="168">
        <f>ROUND(G482*H482,2)</f>
        <v>0</v>
      </c>
      <c r="J482" s="169">
        <v>0</v>
      </c>
      <c r="K482" s="167">
        <f>G482*J482</f>
        <v>0</v>
      </c>
      <c r="L482" s="169">
        <v>0</v>
      </c>
      <c r="M482" s="167">
        <f>G482*L482</f>
        <v>0</v>
      </c>
      <c r="N482" s="170">
        <v>15</v>
      </c>
      <c r="O482" s="171">
        <v>16</v>
      </c>
      <c r="P482" s="14" t="s">
        <v>115</v>
      </c>
    </row>
    <row r="483" spans="1:16" s="14" customFormat="1" ht="13.5" customHeight="1">
      <c r="A483" s="164" t="s">
        <v>701</v>
      </c>
      <c r="B483" s="164" t="s">
        <v>110</v>
      </c>
      <c r="C483" s="164" t="s">
        <v>675</v>
      </c>
      <c r="D483" s="165" t="s">
        <v>702</v>
      </c>
      <c r="E483" s="166" t="s">
        <v>703</v>
      </c>
      <c r="F483" s="164" t="s">
        <v>46</v>
      </c>
      <c r="G483" s="370">
        <f>SUBTOTAL(9,I470:I482)/100</f>
        <v>0</v>
      </c>
      <c r="H483" s="367"/>
      <c r="I483" s="168">
        <f>ROUND(G483*H483,2)</f>
        <v>0</v>
      </c>
      <c r="J483" s="169">
        <v>0</v>
      </c>
      <c r="K483" s="167">
        <f>G483*J483</f>
        <v>0</v>
      </c>
      <c r="L483" s="169">
        <v>0</v>
      </c>
      <c r="M483" s="167">
        <f>G483*L483</f>
        <v>0</v>
      </c>
      <c r="N483" s="170">
        <v>15</v>
      </c>
      <c r="O483" s="171">
        <v>16</v>
      </c>
      <c r="P483" s="14" t="s">
        <v>115</v>
      </c>
    </row>
    <row r="484" spans="2:16" s="133" customFormat="1" ht="12.75" customHeight="1">
      <c r="B484" s="138" t="s">
        <v>63</v>
      </c>
      <c r="D484" s="139" t="s">
        <v>704</v>
      </c>
      <c r="E484" s="139" t="s">
        <v>705</v>
      </c>
      <c r="I484" s="140">
        <f>SUM(I485:I523)</f>
        <v>0</v>
      </c>
      <c r="K484" s="141">
        <f>SUM(K485:K523)</f>
        <v>1.7725949750000003</v>
      </c>
      <c r="M484" s="141">
        <f>SUM(M485:M523)</f>
        <v>0.1421</v>
      </c>
      <c r="P484" s="139" t="s">
        <v>109</v>
      </c>
    </row>
    <row r="485" spans="1:16" s="14" customFormat="1" ht="13.5" customHeight="1" collapsed="1">
      <c r="A485" s="164" t="s">
        <v>706</v>
      </c>
      <c r="B485" s="164" t="s">
        <v>110</v>
      </c>
      <c r="C485" s="164" t="s">
        <v>704</v>
      </c>
      <c r="D485" s="165" t="s">
        <v>707</v>
      </c>
      <c r="E485" s="166" t="s">
        <v>708</v>
      </c>
      <c r="F485" s="164" t="s">
        <v>385</v>
      </c>
      <c r="G485" s="167">
        <v>7</v>
      </c>
      <c r="H485" s="367"/>
      <c r="I485" s="168">
        <f>ROUND(G485*H485,2)</f>
        <v>0</v>
      </c>
      <c r="J485" s="169">
        <v>0</v>
      </c>
      <c r="K485" s="167">
        <f>G485*J485</f>
        <v>0</v>
      </c>
      <c r="L485" s="169">
        <v>0</v>
      </c>
      <c r="M485" s="167">
        <f>G485*L485</f>
        <v>0</v>
      </c>
      <c r="N485" s="170">
        <v>15</v>
      </c>
      <c r="O485" s="171">
        <v>16</v>
      </c>
      <c r="P485" s="14" t="s">
        <v>115</v>
      </c>
    </row>
    <row r="486" spans="4:19" s="14" customFormat="1" ht="15.75" customHeight="1" hidden="1" outlineLevel="1">
      <c r="D486" s="172"/>
      <c r="E486" s="173" t="s">
        <v>1449</v>
      </c>
      <c r="G486" s="174">
        <f>(2.45+2.05+2.5)</f>
        <v>7</v>
      </c>
      <c r="P486" s="172" t="s">
        <v>115</v>
      </c>
      <c r="Q486" s="172" t="s">
        <v>115</v>
      </c>
      <c r="R486" s="172" t="s">
        <v>116</v>
      </c>
      <c r="S486" s="172" t="s">
        <v>106</v>
      </c>
    </row>
    <row r="487" spans="1:16" s="14" customFormat="1" ht="13.5" customHeight="1">
      <c r="A487" s="179" t="s">
        <v>709</v>
      </c>
      <c r="B487" s="179" t="s">
        <v>146</v>
      </c>
      <c r="C487" s="179" t="s">
        <v>147</v>
      </c>
      <c r="D487" s="180" t="s">
        <v>710</v>
      </c>
      <c r="E487" s="181" t="s">
        <v>711</v>
      </c>
      <c r="F487" s="179" t="s">
        <v>385</v>
      </c>
      <c r="G487" s="182">
        <v>7</v>
      </c>
      <c r="H487" s="368"/>
      <c r="I487" s="183">
        <f>ROUND(G487*H487,2)</f>
        <v>0</v>
      </c>
      <c r="J487" s="184">
        <v>0</v>
      </c>
      <c r="K487" s="182">
        <f>G487*J487</f>
        <v>0</v>
      </c>
      <c r="L487" s="184">
        <v>0</v>
      </c>
      <c r="M487" s="182">
        <f>G487*L487</f>
        <v>0</v>
      </c>
      <c r="N487" s="185">
        <v>15</v>
      </c>
      <c r="O487" s="186">
        <v>32</v>
      </c>
      <c r="P487" s="187" t="s">
        <v>115</v>
      </c>
    </row>
    <row r="488" spans="1:16" s="14" customFormat="1" ht="24" customHeight="1" collapsed="1">
      <c r="A488" s="164" t="s">
        <v>712</v>
      </c>
      <c r="B488" s="164" t="s">
        <v>110</v>
      </c>
      <c r="C488" s="164" t="s">
        <v>704</v>
      </c>
      <c r="D488" s="165" t="s">
        <v>713</v>
      </c>
      <c r="E488" s="166" t="s">
        <v>714</v>
      </c>
      <c r="F488" s="164" t="s">
        <v>385</v>
      </c>
      <c r="G488" s="167">
        <f>G489</f>
        <v>16.15</v>
      </c>
      <c r="H488" s="367"/>
      <c r="I488" s="168">
        <f>ROUND(G488*H488,2)</f>
        <v>0</v>
      </c>
      <c r="J488" s="169">
        <v>0.00093</v>
      </c>
      <c r="K488" s="167">
        <f>G488*J488</f>
        <v>0.0150195</v>
      </c>
      <c r="L488" s="169">
        <v>0</v>
      </c>
      <c r="M488" s="167">
        <f>G488*L488</f>
        <v>0</v>
      </c>
      <c r="N488" s="170">
        <v>15</v>
      </c>
      <c r="O488" s="171">
        <v>16</v>
      </c>
      <c r="P488" s="14" t="s">
        <v>115</v>
      </c>
    </row>
    <row r="489" spans="4:19" s="14" customFormat="1" ht="15.75" customHeight="1" hidden="1" outlineLevel="1">
      <c r="D489" s="172"/>
      <c r="E489" s="173" t="s">
        <v>1450</v>
      </c>
      <c r="G489" s="174">
        <f>17*0.95</f>
        <v>16.15</v>
      </c>
      <c r="P489" s="172" t="s">
        <v>115</v>
      </c>
      <c r="Q489" s="172" t="s">
        <v>115</v>
      </c>
      <c r="R489" s="172" t="s">
        <v>116</v>
      </c>
      <c r="S489" s="172" t="s">
        <v>109</v>
      </c>
    </row>
    <row r="490" spans="1:16" s="14" customFormat="1" ht="13.5" customHeight="1" collapsed="1">
      <c r="A490" s="179" t="s">
        <v>715</v>
      </c>
      <c r="B490" s="179" t="s">
        <v>146</v>
      </c>
      <c r="C490" s="179" t="s">
        <v>147</v>
      </c>
      <c r="D490" s="180" t="s">
        <v>716</v>
      </c>
      <c r="E490" s="181" t="s">
        <v>717</v>
      </c>
      <c r="F490" s="179" t="s">
        <v>124</v>
      </c>
      <c r="G490" s="182">
        <f>G491</f>
        <v>6.944500000000001</v>
      </c>
      <c r="H490" s="368"/>
      <c r="I490" s="183">
        <f>ROUND(G490*H490,2)</f>
        <v>0</v>
      </c>
      <c r="J490" s="184">
        <v>0.00855</v>
      </c>
      <c r="K490" s="182">
        <f>G490*J490</f>
        <v>0.059375475000000004</v>
      </c>
      <c r="L490" s="184">
        <v>0</v>
      </c>
      <c r="M490" s="182">
        <f>G490*L490</f>
        <v>0</v>
      </c>
      <c r="N490" s="185">
        <v>15</v>
      </c>
      <c r="O490" s="186">
        <v>32</v>
      </c>
      <c r="P490" s="187" t="s">
        <v>115</v>
      </c>
    </row>
    <row r="491" spans="4:19" s="14" customFormat="1" ht="15.75" customHeight="1" hidden="1" outlineLevel="1">
      <c r="D491" s="172"/>
      <c r="E491" s="173" t="s">
        <v>1451</v>
      </c>
      <c r="G491" s="174">
        <f>(0.17+0.26)*0.95*17</f>
        <v>6.944500000000001</v>
      </c>
      <c r="P491" s="172" t="s">
        <v>115</v>
      </c>
      <c r="Q491" s="172" t="s">
        <v>115</v>
      </c>
      <c r="R491" s="172" t="s">
        <v>116</v>
      </c>
      <c r="S491" s="172" t="s">
        <v>106</v>
      </c>
    </row>
    <row r="492" spans="1:16" s="14" customFormat="1" ht="13.5" customHeight="1">
      <c r="A492" s="164" t="s">
        <v>718</v>
      </c>
      <c r="B492" s="164" t="s">
        <v>110</v>
      </c>
      <c r="C492" s="164" t="s">
        <v>704</v>
      </c>
      <c r="D492" s="165" t="s">
        <v>719</v>
      </c>
      <c r="E492" s="166" t="s">
        <v>720</v>
      </c>
      <c r="F492" s="164" t="s">
        <v>124</v>
      </c>
      <c r="G492" s="167">
        <v>2</v>
      </c>
      <c r="H492" s="367"/>
      <c r="I492" s="168">
        <f aca="true" t="shared" si="3" ref="I492:I523">ROUND(G492*H492,2)</f>
        <v>0</v>
      </c>
      <c r="J492" s="169">
        <v>0.00026</v>
      </c>
      <c r="K492" s="167">
        <f aca="true" t="shared" si="4" ref="K492:K523">G492*J492</f>
        <v>0.00052</v>
      </c>
      <c r="L492" s="169">
        <v>0</v>
      </c>
      <c r="M492" s="167">
        <f aca="true" t="shared" si="5" ref="M492:M523">G492*L492</f>
        <v>0</v>
      </c>
      <c r="N492" s="170">
        <v>15</v>
      </c>
      <c r="O492" s="171">
        <v>16</v>
      </c>
      <c r="P492" s="14" t="s">
        <v>115</v>
      </c>
    </row>
    <row r="493" spans="1:16" s="14" customFormat="1" ht="13.5" customHeight="1">
      <c r="A493" s="179" t="s">
        <v>721</v>
      </c>
      <c r="B493" s="179" t="s">
        <v>146</v>
      </c>
      <c r="C493" s="179" t="s">
        <v>147</v>
      </c>
      <c r="D493" s="180" t="s">
        <v>722</v>
      </c>
      <c r="E493" s="181" t="s">
        <v>723</v>
      </c>
      <c r="F493" s="179" t="s">
        <v>143</v>
      </c>
      <c r="G493" s="182">
        <v>2</v>
      </c>
      <c r="H493" s="368"/>
      <c r="I493" s="183">
        <f t="shared" si="3"/>
        <v>0</v>
      </c>
      <c r="J493" s="184">
        <v>0.043</v>
      </c>
      <c r="K493" s="182">
        <f t="shared" si="4"/>
        <v>0.086</v>
      </c>
      <c r="L493" s="184">
        <v>0</v>
      </c>
      <c r="M493" s="182">
        <f t="shared" si="5"/>
        <v>0</v>
      </c>
      <c r="N493" s="185">
        <v>15</v>
      </c>
      <c r="O493" s="186">
        <v>32</v>
      </c>
      <c r="P493" s="187" t="s">
        <v>115</v>
      </c>
    </row>
    <row r="494" spans="1:16" s="14" customFormat="1" ht="13.5" customHeight="1">
      <c r="A494" s="164" t="s">
        <v>724</v>
      </c>
      <c r="B494" s="164" t="s">
        <v>110</v>
      </c>
      <c r="C494" s="164" t="s">
        <v>704</v>
      </c>
      <c r="D494" s="165" t="s">
        <v>725</v>
      </c>
      <c r="E494" s="166" t="s">
        <v>726</v>
      </c>
      <c r="F494" s="164" t="s">
        <v>124</v>
      </c>
      <c r="G494" s="167">
        <v>1</v>
      </c>
      <c r="H494" s="367"/>
      <c r="I494" s="168">
        <f t="shared" si="3"/>
        <v>0</v>
      </c>
      <c r="J494" s="169">
        <v>0.00026</v>
      </c>
      <c r="K494" s="167">
        <f t="shared" si="4"/>
        <v>0.00026</v>
      </c>
      <c r="L494" s="169">
        <v>0</v>
      </c>
      <c r="M494" s="167">
        <f t="shared" si="5"/>
        <v>0</v>
      </c>
      <c r="N494" s="170">
        <v>15</v>
      </c>
      <c r="O494" s="171">
        <v>16</v>
      </c>
      <c r="P494" s="14" t="s">
        <v>115</v>
      </c>
    </row>
    <row r="495" spans="1:16" s="14" customFormat="1" ht="13.5" customHeight="1">
      <c r="A495" s="179" t="s">
        <v>727</v>
      </c>
      <c r="B495" s="179" t="s">
        <v>146</v>
      </c>
      <c r="C495" s="179" t="s">
        <v>147</v>
      </c>
      <c r="D495" s="180" t="s">
        <v>728</v>
      </c>
      <c r="E495" s="181" t="s">
        <v>729</v>
      </c>
      <c r="F495" s="179" t="s">
        <v>143</v>
      </c>
      <c r="G495" s="182">
        <v>1</v>
      </c>
      <c r="H495" s="368"/>
      <c r="I495" s="183">
        <f t="shared" si="3"/>
        <v>0</v>
      </c>
      <c r="J495" s="184">
        <v>0.077</v>
      </c>
      <c r="K495" s="182">
        <f t="shared" si="4"/>
        <v>0.077</v>
      </c>
      <c r="L495" s="184">
        <v>0</v>
      </c>
      <c r="M495" s="182">
        <f t="shared" si="5"/>
        <v>0</v>
      </c>
      <c r="N495" s="185">
        <v>15</v>
      </c>
      <c r="O495" s="186">
        <v>32</v>
      </c>
      <c r="P495" s="187" t="s">
        <v>115</v>
      </c>
    </row>
    <row r="496" spans="1:16" s="14" customFormat="1" ht="18.75" customHeight="1" collapsed="1">
      <c r="A496" s="164" t="s">
        <v>724</v>
      </c>
      <c r="B496" s="164" t="s">
        <v>110</v>
      </c>
      <c r="C496" s="164" t="s">
        <v>704</v>
      </c>
      <c r="D496" s="165" t="s">
        <v>1498</v>
      </c>
      <c r="E496" s="166" t="s">
        <v>1499</v>
      </c>
      <c r="F496" s="164" t="s">
        <v>143</v>
      </c>
      <c r="G496" s="167">
        <v>3</v>
      </c>
      <c r="H496" s="367"/>
      <c r="I496" s="168">
        <f t="shared" si="3"/>
        <v>0</v>
      </c>
      <c r="J496" s="169">
        <v>0.00026</v>
      </c>
      <c r="K496" s="167">
        <f t="shared" si="4"/>
        <v>0.0007799999999999999</v>
      </c>
      <c r="L496" s="169">
        <v>0</v>
      </c>
      <c r="M496" s="167">
        <f t="shared" si="5"/>
        <v>0</v>
      </c>
      <c r="N496" s="170">
        <v>15</v>
      </c>
      <c r="O496" s="171">
        <v>16</v>
      </c>
      <c r="P496" s="14" t="s">
        <v>115</v>
      </c>
    </row>
    <row r="497" spans="4:19" s="14" customFormat="1" ht="15.75" customHeight="1" hidden="1" outlineLevel="1">
      <c r="D497" s="172"/>
      <c r="E497" s="173" t="s">
        <v>1500</v>
      </c>
      <c r="G497" s="174">
        <v>3</v>
      </c>
      <c r="P497" s="172"/>
      <c r="Q497" s="172"/>
      <c r="R497" s="172"/>
      <c r="S497" s="172"/>
    </row>
    <row r="498" spans="1:16" s="14" customFormat="1" ht="13.5" customHeight="1" collapsed="1">
      <c r="A498" s="179" t="s">
        <v>727</v>
      </c>
      <c r="B498" s="179" t="s">
        <v>146</v>
      </c>
      <c r="C498" s="179" t="s">
        <v>147</v>
      </c>
      <c r="D498" s="180" t="s">
        <v>1501</v>
      </c>
      <c r="E498" s="181" t="s">
        <v>1502</v>
      </c>
      <c r="F498" s="179" t="s">
        <v>385</v>
      </c>
      <c r="G498" s="182">
        <f>G499</f>
        <v>4.65</v>
      </c>
      <c r="H498" s="368"/>
      <c r="I498" s="183">
        <f t="shared" si="3"/>
        <v>0</v>
      </c>
      <c r="J498" s="184">
        <v>0.077</v>
      </c>
      <c r="K498" s="182">
        <f t="shared" si="4"/>
        <v>0.35805000000000003</v>
      </c>
      <c r="L498" s="184">
        <v>0</v>
      </c>
      <c r="M498" s="182">
        <f t="shared" si="5"/>
        <v>0</v>
      </c>
      <c r="N498" s="185">
        <v>15</v>
      </c>
      <c r="O498" s="186">
        <v>32</v>
      </c>
      <c r="P498" s="187" t="s">
        <v>115</v>
      </c>
    </row>
    <row r="499" spans="4:19" s="14" customFormat="1" ht="15.75" customHeight="1" hidden="1" outlineLevel="1">
      <c r="D499" s="172"/>
      <c r="E499" s="173" t="s">
        <v>1503</v>
      </c>
      <c r="G499" s="174">
        <f>2.05+1.3*2</f>
        <v>4.65</v>
      </c>
      <c r="P499" s="172"/>
      <c r="Q499" s="172"/>
      <c r="R499" s="172"/>
      <c r="S499" s="172"/>
    </row>
    <row r="500" spans="1:16" s="14" customFormat="1" ht="13.5" customHeight="1">
      <c r="A500" s="164" t="s">
        <v>730</v>
      </c>
      <c r="B500" s="164" t="s">
        <v>110</v>
      </c>
      <c r="C500" s="164" t="s">
        <v>731</v>
      </c>
      <c r="D500" s="165" t="s">
        <v>732</v>
      </c>
      <c r="E500" s="166" t="s">
        <v>733</v>
      </c>
      <c r="F500" s="164" t="s">
        <v>143</v>
      </c>
      <c r="G500" s="167">
        <v>1</v>
      </c>
      <c r="H500" s="367"/>
      <c r="I500" s="168">
        <f t="shared" si="3"/>
        <v>0</v>
      </c>
      <c r="J500" s="169">
        <v>0</v>
      </c>
      <c r="K500" s="167">
        <f t="shared" si="4"/>
        <v>0</v>
      </c>
      <c r="L500" s="169">
        <v>0</v>
      </c>
      <c r="M500" s="167">
        <f t="shared" si="5"/>
        <v>0</v>
      </c>
      <c r="N500" s="170">
        <v>15</v>
      </c>
      <c r="O500" s="171">
        <v>16</v>
      </c>
      <c r="P500" s="14" t="s">
        <v>115</v>
      </c>
    </row>
    <row r="501" spans="1:16" s="14" customFormat="1" ht="24" customHeight="1">
      <c r="A501" s="179" t="s">
        <v>734</v>
      </c>
      <c r="B501" s="179" t="s">
        <v>146</v>
      </c>
      <c r="C501" s="179" t="s">
        <v>147</v>
      </c>
      <c r="D501" s="180" t="s">
        <v>735</v>
      </c>
      <c r="E501" s="181" t="s">
        <v>736</v>
      </c>
      <c r="F501" s="179" t="s">
        <v>143</v>
      </c>
      <c r="G501" s="182">
        <v>1</v>
      </c>
      <c r="H501" s="368"/>
      <c r="I501" s="183">
        <f t="shared" si="3"/>
        <v>0</v>
      </c>
      <c r="J501" s="184">
        <v>0.0327</v>
      </c>
      <c r="K501" s="182">
        <f t="shared" si="4"/>
        <v>0.0327</v>
      </c>
      <c r="L501" s="184">
        <v>0</v>
      </c>
      <c r="M501" s="182">
        <f t="shared" si="5"/>
        <v>0</v>
      </c>
      <c r="N501" s="185">
        <v>15</v>
      </c>
      <c r="O501" s="186">
        <v>32</v>
      </c>
      <c r="P501" s="187" t="s">
        <v>115</v>
      </c>
    </row>
    <row r="502" spans="1:16" s="14" customFormat="1" ht="24" customHeight="1">
      <c r="A502" s="164" t="s">
        <v>737</v>
      </c>
      <c r="B502" s="164" t="s">
        <v>110</v>
      </c>
      <c r="C502" s="164" t="s">
        <v>704</v>
      </c>
      <c r="D502" s="165" t="s">
        <v>738</v>
      </c>
      <c r="E502" s="166" t="s">
        <v>739</v>
      </c>
      <c r="F502" s="164" t="s">
        <v>143</v>
      </c>
      <c r="G502" s="167">
        <v>1</v>
      </c>
      <c r="H502" s="367"/>
      <c r="I502" s="168">
        <f t="shared" si="3"/>
        <v>0</v>
      </c>
      <c r="J502" s="169">
        <v>0</v>
      </c>
      <c r="K502" s="167">
        <f t="shared" si="4"/>
        <v>0</v>
      </c>
      <c r="L502" s="169">
        <v>0</v>
      </c>
      <c r="M502" s="167">
        <f t="shared" si="5"/>
        <v>0</v>
      </c>
      <c r="N502" s="170">
        <v>15</v>
      </c>
      <c r="O502" s="171">
        <v>16</v>
      </c>
      <c r="P502" s="14" t="s">
        <v>115</v>
      </c>
    </row>
    <row r="503" spans="1:16" s="14" customFormat="1" ht="24" customHeight="1">
      <c r="A503" s="179" t="s">
        <v>740</v>
      </c>
      <c r="B503" s="179" t="s">
        <v>146</v>
      </c>
      <c r="C503" s="179" t="s">
        <v>147</v>
      </c>
      <c r="D503" s="180" t="s">
        <v>741</v>
      </c>
      <c r="E503" s="181" t="s">
        <v>1465</v>
      </c>
      <c r="F503" s="179" t="s">
        <v>143</v>
      </c>
      <c r="G503" s="182">
        <v>1</v>
      </c>
      <c r="H503" s="368"/>
      <c r="I503" s="183">
        <f t="shared" si="3"/>
        <v>0</v>
      </c>
      <c r="J503" s="184">
        <v>0.042</v>
      </c>
      <c r="K503" s="182">
        <f t="shared" si="4"/>
        <v>0.042</v>
      </c>
      <c r="L503" s="184">
        <v>0</v>
      </c>
      <c r="M503" s="182">
        <f t="shared" si="5"/>
        <v>0</v>
      </c>
      <c r="N503" s="185">
        <v>15</v>
      </c>
      <c r="O503" s="186">
        <v>32</v>
      </c>
      <c r="P503" s="187" t="s">
        <v>115</v>
      </c>
    </row>
    <row r="504" spans="1:16" s="14" customFormat="1" ht="13.5" customHeight="1">
      <c r="A504" s="164" t="s">
        <v>742</v>
      </c>
      <c r="B504" s="164" t="s">
        <v>110</v>
      </c>
      <c r="C504" s="164" t="s">
        <v>704</v>
      </c>
      <c r="D504" s="165" t="s">
        <v>743</v>
      </c>
      <c r="E504" s="166" t="s">
        <v>744</v>
      </c>
      <c r="F504" s="164" t="s">
        <v>143</v>
      </c>
      <c r="G504" s="167">
        <v>8</v>
      </c>
      <c r="H504" s="367"/>
      <c r="I504" s="168">
        <f t="shared" si="3"/>
        <v>0</v>
      </c>
      <c r="J504" s="169">
        <v>0</v>
      </c>
      <c r="K504" s="167">
        <f t="shared" si="4"/>
        <v>0</v>
      </c>
      <c r="L504" s="169">
        <v>0</v>
      </c>
      <c r="M504" s="167">
        <f t="shared" si="5"/>
        <v>0</v>
      </c>
      <c r="N504" s="170">
        <v>15</v>
      </c>
      <c r="O504" s="171">
        <v>16</v>
      </c>
      <c r="P504" s="14" t="s">
        <v>115</v>
      </c>
    </row>
    <row r="505" spans="1:16" s="14" customFormat="1" ht="12.75" customHeight="1">
      <c r="A505" s="179" t="s">
        <v>745</v>
      </c>
      <c r="B505" s="179" t="s">
        <v>146</v>
      </c>
      <c r="C505" s="179" t="s">
        <v>147</v>
      </c>
      <c r="D505" s="180" t="s">
        <v>746</v>
      </c>
      <c r="E505" s="181" t="s">
        <v>747</v>
      </c>
      <c r="F505" s="179" t="s">
        <v>143</v>
      </c>
      <c r="G505" s="182">
        <v>8</v>
      </c>
      <c r="H505" s="368"/>
      <c r="I505" s="183">
        <f t="shared" si="3"/>
        <v>0</v>
      </c>
      <c r="J505" s="184">
        <v>0.0012</v>
      </c>
      <c r="K505" s="182">
        <f t="shared" si="4"/>
        <v>0.0096</v>
      </c>
      <c r="L505" s="184">
        <v>0</v>
      </c>
      <c r="M505" s="182">
        <f t="shared" si="5"/>
        <v>0</v>
      </c>
      <c r="N505" s="185">
        <v>15</v>
      </c>
      <c r="O505" s="186">
        <v>32</v>
      </c>
      <c r="P505" s="187" t="s">
        <v>115</v>
      </c>
    </row>
    <row r="506" spans="1:16" s="14" customFormat="1" ht="21" customHeight="1">
      <c r="A506" s="179" t="s">
        <v>748</v>
      </c>
      <c r="B506" s="179" t="s">
        <v>146</v>
      </c>
      <c r="C506" s="179" t="s">
        <v>147</v>
      </c>
      <c r="D506" s="180" t="s">
        <v>749</v>
      </c>
      <c r="E506" s="181" t="s">
        <v>750</v>
      </c>
      <c r="F506" s="179" t="s">
        <v>143</v>
      </c>
      <c r="G506" s="182">
        <v>4</v>
      </c>
      <c r="H506" s="368"/>
      <c r="I506" s="183">
        <f t="shared" si="3"/>
        <v>0</v>
      </c>
      <c r="J506" s="184">
        <v>0.014</v>
      </c>
      <c r="K506" s="182">
        <f t="shared" si="4"/>
        <v>0.056</v>
      </c>
      <c r="L506" s="184">
        <v>0</v>
      </c>
      <c r="M506" s="182">
        <f t="shared" si="5"/>
        <v>0</v>
      </c>
      <c r="N506" s="185">
        <v>15</v>
      </c>
      <c r="O506" s="186">
        <v>32</v>
      </c>
      <c r="P506" s="187" t="s">
        <v>115</v>
      </c>
    </row>
    <row r="507" spans="1:16" s="14" customFormat="1" ht="24" customHeight="1">
      <c r="A507" s="179" t="s">
        <v>751</v>
      </c>
      <c r="B507" s="179" t="s">
        <v>146</v>
      </c>
      <c r="C507" s="179" t="s">
        <v>147</v>
      </c>
      <c r="D507" s="180" t="s">
        <v>752</v>
      </c>
      <c r="E507" s="181" t="s">
        <v>753</v>
      </c>
      <c r="F507" s="179" t="s">
        <v>143</v>
      </c>
      <c r="G507" s="182">
        <v>4</v>
      </c>
      <c r="H507" s="368"/>
      <c r="I507" s="183">
        <f t="shared" si="3"/>
        <v>0</v>
      </c>
      <c r="J507" s="184">
        <v>0.016</v>
      </c>
      <c r="K507" s="182">
        <f t="shared" si="4"/>
        <v>0.064</v>
      </c>
      <c r="L507" s="184">
        <v>0</v>
      </c>
      <c r="M507" s="182">
        <f t="shared" si="5"/>
        <v>0</v>
      </c>
      <c r="N507" s="185">
        <v>15</v>
      </c>
      <c r="O507" s="186">
        <v>32</v>
      </c>
      <c r="P507" s="187" t="s">
        <v>115</v>
      </c>
    </row>
    <row r="508" spans="1:16" s="14" customFormat="1" ht="24" customHeight="1">
      <c r="A508" s="164" t="s">
        <v>754</v>
      </c>
      <c r="B508" s="164" t="s">
        <v>110</v>
      </c>
      <c r="C508" s="164" t="s">
        <v>704</v>
      </c>
      <c r="D508" s="165" t="s">
        <v>755</v>
      </c>
      <c r="E508" s="166" t="s">
        <v>756</v>
      </c>
      <c r="F508" s="164" t="s">
        <v>143</v>
      </c>
      <c r="G508" s="167">
        <v>1</v>
      </c>
      <c r="H508" s="367"/>
      <c r="I508" s="168">
        <f t="shared" si="3"/>
        <v>0</v>
      </c>
      <c r="J508" s="169">
        <v>0</v>
      </c>
      <c r="K508" s="167">
        <f t="shared" si="4"/>
        <v>0</v>
      </c>
      <c r="L508" s="169">
        <v>0</v>
      </c>
      <c r="M508" s="167">
        <f t="shared" si="5"/>
        <v>0</v>
      </c>
      <c r="N508" s="170">
        <v>15</v>
      </c>
      <c r="O508" s="171">
        <v>16</v>
      </c>
      <c r="P508" s="14" t="s">
        <v>115</v>
      </c>
    </row>
    <row r="509" spans="1:16" s="14" customFormat="1" ht="13.5" customHeight="1">
      <c r="A509" s="179" t="s">
        <v>757</v>
      </c>
      <c r="B509" s="179" t="s">
        <v>146</v>
      </c>
      <c r="C509" s="179" t="s">
        <v>147</v>
      </c>
      <c r="D509" s="180" t="s">
        <v>758</v>
      </c>
      <c r="E509" s="181" t="s">
        <v>759</v>
      </c>
      <c r="F509" s="179" t="s">
        <v>143</v>
      </c>
      <c r="G509" s="182">
        <v>1</v>
      </c>
      <c r="H509" s="368"/>
      <c r="I509" s="183">
        <f t="shared" si="3"/>
        <v>0</v>
      </c>
      <c r="J509" s="184">
        <v>0.0275</v>
      </c>
      <c r="K509" s="182">
        <f t="shared" si="4"/>
        <v>0.0275</v>
      </c>
      <c r="L509" s="184">
        <v>0</v>
      </c>
      <c r="M509" s="182">
        <f t="shared" si="5"/>
        <v>0</v>
      </c>
      <c r="N509" s="185">
        <v>15</v>
      </c>
      <c r="O509" s="186">
        <v>32</v>
      </c>
      <c r="P509" s="187" t="s">
        <v>115</v>
      </c>
    </row>
    <row r="510" spans="1:16" s="14" customFormat="1" ht="24" customHeight="1">
      <c r="A510" s="164" t="s">
        <v>760</v>
      </c>
      <c r="B510" s="164" t="s">
        <v>110</v>
      </c>
      <c r="C510" s="164" t="s">
        <v>704</v>
      </c>
      <c r="D510" s="165" t="s">
        <v>761</v>
      </c>
      <c r="E510" s="166" t="s">
        <v>762</v>
      </c>
      <c r="F510" s="164" t="s">
        <v>143</v>
      </c>
      <c r="G510" s="167">
        <v>1</v>
      </c>
      <c r="H510" s="367"/>
      <c r="I510" s="168">
        <f t="shared" si="3"/>
        <v>0</v>
      </c>
      <c r="J510" s="169">
        <v>0</v>
      </c>
      <c r="K510" s="167">
        <f t="shared" si="4"/>
        <v>0</v>
      </c>
      <c r="L510" s="169">
        <v>0</v>
      </c>
      <c r="M510" s="167">
        <f t="shared" si="5"/>
        <v>0</v>
      </c>
      <c r="N510" s="170">
        <v>15</v>
      </c>
      <c r="O510" s="171">
        <v>16</v>
      </c>
      <c r="P510" s="14" t="s">
        <v>115</v>
      </c>
    </row>
    <row r="511" spans="1:16" s="14" customFormat="1" ht="13.5" customHeight="1">
      <c r="A511" s="179" t="s">
        <v>763</v>
      </c>
      <c r="B511" s="179" t="s">
        <v>146</v>
      </c>
      <c r="C511" s="179" t="s">
        <v>147</v>
      </c>
      <c r="D511" s="180" t="s">
        <v>764</v>
      </c>
      <c r="E511" s="181" t="s">
        <v>765</v>
      </c>
      <c r="F511" s="179" t="s">
        <v>143</v>
      </c>
      <c r="G511" s="182">
        <v>1</v>
      </c>
      <c r="H511" s="368"/>
      <c r="I511" s="183">
        <f t="shared" si="3"/>
        <v>0</v>
      </c>
      <c r="J511" s="184">
        <v>0.048</v>
      </c>
      <c r="K511" s="182">
        <f t="shared" si="4"/>
        <v>0.048</v>
      </c>
      <c r="L511" s="184">
        <v>0</v>
      </c>
      <c r="M511" s="182">
        <f t="shared" si="5"/>
        <v>0</v>
      </c>
      <c r="N511" s="185">
        <v>15</v>
      </c>
      <c r="O511" s="186">
        <v>32</v>
      </c>
      <c r="P511" s="187" t="s">
        <v>115</v>
      </c>
    </row>
    <row r="512" spans="1:16" s="14" customFormat="1" ht="24" customHeight="1">
      <c r="A512" s="164" t="s">
        <v>766</v>
      </c>
      <c r="B512" s="164" t="s">
        <v>110</v>
      </c>
      <c r="C512" s="164" t="s">
        <v>704</v>
      </c>
      <c r="D512" s="165" t="s">
        <v>767</v>
      </c>
      <c r="E512" s="166" t="s">
        <v>768</v>
      </c>
      <c r="F512" s="164" t="s">
        <v>143</v>
      </c>
      <c r="G512" s="167">
        <v>5</v>
      </c>
      <c r="H512" s="367"/>
      <c r="I512" s="168">
        <f t="shared" si="3"/>
        <v>0</v>
      </c>
      <c r="J512" s="169">
        <v>0.0271</v>
      </c>
      <c r="K512" s="167">
        <f t="shared" si="4"/>
        <v>0.1355</v>
      </c>
      <c r="L512" s="169">
        <v>0</v>
      </c>
      <c r="M512" s="167">
        <f t="shared" si="5"/>
        <v>0</v>
      </c>
      <c r="N512" s="170">
        <v>15</v>
      </c>
      <c r="O512" s="171">
        <v>16</v>
      </c>
      <c r="P512" s="14" t="s">
        <v>115</v>
      </c>
    </row>
    <row r="513" spans="1:16" s="14" customFormat="1" ht="24" customHeight="1">
      <c r="A513" s="164" t="s">
        <v>769</v>
      </c>
      <c r="B513" s="164" t="s">
        <v>110</v>
      </c>
      <c r="C513" s="164" t="s">
        <v>704</v>
      </c>
      <c r="D513" s="165" t="s">
        <v>770</v>
      </c>
      <c r="E513" s="166" t="s">
        <v>771</v>
      </c>
      <c r="F513" s="164" t="s">
        <v>143</v>
      </c>
      <c r="G513" s="167">
        <v>5</v>
      </c>
      <c r="H513" s="367"/>
      <c r="I513" s="168">
        <f t="shared" si="3"/>
        <v>0</v>
      </c>
      <c r="J513" s="169">
        <v>0.06278</v>
      </c>
      <c r="K513" s="167">
        <f t="shared" si="4"/>
        <v>0.3139</v>
      </c>
      <c r="L513" s="169">
        <v>0</v>
      </c>
      <c r="M513" s="167">
        <f t="shared" si="5"/>
        <v>0</v>
      </c>
      <c r="N513" s="170">
        <v>15</v>
      </c>
      <c r="O513" s="171">
        <v>16</v>
      </c>
      <c r="P513" s="14" t="s">
        <v>115</v>
      </c>
    </row>
    <row r="514" spans="1:16" s="14" customFormat="1" ht="13.5" customHeight="1">
      <c r="A514" s="179" t="s">
        <v>772</v>
      </c>
      <c r="B514" s="179" t="s">
        <v>146</v>
      </c>
      <c r="C514" s="179" t="s">
        <v>147</v>
      </c>
      <c r="D514" s="180" t="s">
        <v>773</v>
      </c>
      <c r="E514" s="181" t="s">
        <v>774</v>
      </c>
      <c r="F514" s="179" t="s">
        <v>143</v>
      </c>
      <c r="G514" s="182">
        <v>5</v>
      </c>
      <c r="H514" s="368"/>
      <c r="I514" s="183">
        <f t="shared" si="3"/>
        <v>0</v>
      </c>
      <c r="J514" s="184">
        <v>0.0557</v>
      </c>
      <c r="K514" s="182">
        <f t="shared" si="4"/>
        <v>0.27849999999999997</v>
      </c>
      <c r="L514" s="184">
        <v>0</v>
      </c>
      <c r="M514" s="182">
        <f t="shared" si="5"/>
        <v>0</v>
      </c>
      <c r="N514" s="185">
        <v>15</v>
      </c>
      <c r="O514" s="186">
        <v>32</v>
      </c>
      <c r="P514" s="187" t="s">
        <v>115</v>
      </c>
    </row>
    <row r="515" spans="1:16" s="14" customFormat="1" ht="13.5" customHeight="1">
      <c r="A515" s="164" t="s">
        <v>775</v>
      </c>
      <c r="B515" s="164" t="s">
        <v>110</v>
      </c>
      <c r="C515" s="164" t="s">
        <v>704</v>
      </c>
      <c r="D515" s="165" t="s">
        <v>776</v>
      </c>
      <c r="E515" s="166" t="s">
        <v>777</v>
      </c>
      <c r="F515" s="164" t="s">
        <v>143</v>
      </c>
      <c r="G515" s="167">
        <v>3</v>
      </c>
      <c r="H515" s="367"/>
      <c r="I515" s="168">
        <f t="shared" si="3"/>
        <v>0</v>
      </c>
      <c r="J515" s="169">
        <v>0</v>
      </c>
      <c r="K515" s="167">
        <f t="shared" si="4"/>
        <v>0</v>
      </c>
      <c r="L515" s="169">
        <v>0.0417</v>
      </c>
      <c r="M515" s="167">
        <f t="shared" si="5"/>
        <v>0.1251</v>
      </c>
      <c r="N515" s="170">
        <v>15</v>
      </c>
      <c r="O515" s="171">
        <v>16</v>
      </c>
      <c r="P515" s="14" t="s">
        <v>115</v>
      </c>
    </row>
    <row r="516" spans="1:16" s="14" customFormat="1" ht="13.5" customHeight="1">
      <c r="A516" s="164" t="s">
        <v>778</v>
      </c>
      <c r="B516" s="164" t="s">
        <v>110</v>
      </c>
      <c r="C516" s="164" t="s">
        <v>704</v>
      </c>
      <c r="D516" s="165" t="s">
        <v>779</v>
      </c>
      <c r="E516" s="166" t="s">
        <v>780</v>
      </c>
      <c r="F516" s="164" t="s">
        <v>143</v>
      </c>
      <c r="G516" s="167">
        <v>9</v>
      </c>
      <c r="H516" s="367"/>
      <c r="I516" s="168">
        <f t="shared" si="3"/>
        <v>0</v>
      </c>
      <c r="J516" s="169">
        <v>0.00045</v>
      </c>
      <c r="K516" s="167">
        <f t="shared" si="4"/>
        <v>0.00405</v>
      </c>
      <c r="L516" s="169">
        <v>0</v>
      </c>
      <c r="M516" s="167">
        <f t="shared" si="5"/>
        <v>0</v>
      </c>
      <c r="N516" s="170">
        <v>15</v>
      </c>
      <c r="O516" s="171">
        <v>16</v>
      </c>
      <c r="P516" s="14" t="s">
        <v>115</v>
      </c>
    </row>
    <row r="517" spans="1:16" s="14" customFormat="1" ht="24" customHeight="1">
      <c r="A517" s="179" t="s">
        <v>781</v>
      </c>
      <c r="B517" s="179" t="s">
        <v>146</v>
      </c>
      <c r="C517" s="179" t="s">
        <v>147</v>
      </c>
      <c r="D517" s="180" t="s">
        <v>782</v>
      </c>
      <c r="E517" s="181" t="s">
        <v>783</v>
      </c>
      <c r="F517" s="179" t="s">
        <v>143</v>
      </c>
      <c r="G517" s="182">
        <v>9</v>
      </c>
      <c r="H517" s="368"/>
      <c r="I517" s="183">
        <f t="shared" si="3"/>
        <v>0</v>
      </c>
      <c r="J517" s="184">
        <v>0.016</v>
      </c>
      <c r="K517" s="182">
        <f t="shared" si="4"/>
        <v>0.14400000000000002</v>
      </c>
      <c r="L517" s="184">
        <v>0</v>
      </c>
      <c r="M517" s="182">
        <f t="shared" si="5"/>
        <v>0</v>
      </c>
      <c r="N517" s="185">
        <v>15</v>
      </c>
      <c r="O517" s="186">
        <v>32</v>
      </c>
      <c r="P517" s="187" t="s">
        <v>115</v>
      </c>
    </row>
    <row r="518" spans="1:16" s="14" customFormat="1" ht="13.5" customHeight="1">
      <c r="A518" s="164" t="s">
        <v>784</v>
      </c>
      <c r="B518" s="164" t="s">
        <v>110</v>
      </c>
      <c r="C518" s="164" t="s">
        <v>704</v>
      </c>
      <c r="D518" s="165" t="s">
        <v>785</v>
      </c>
      <c r="E518" s="166" t="s">
        <v>786</v>
      </c>
      <c r="F518" s="164" t="s">
        <v>143</v>
      </c>
      <c r="G518" s="167">
        <v>1</v>
      </c>
      <c r="H518" s="367"/>
      <c r="I518" s="168">
        <f t="shared" si="3"/>
        <v>0</v>
      </c>
      <c r="J518" s="169">
        <v>0.00045</v>
      </c>
      <c r="K518" s="167">
        <f t="shared" si="4"/>
        <v>0.00045</v>
      </c>
      <c r="L518" s="169">
        <v>0</v>
      </c>
      <c r="M518" s="167">
        <f t="shared" si="5"/>
        <v>0</v>
      </c>
      <c r="N518" s="170">
        <v>15</v>
      </c>
      <c r="O518" s="171">
        <v>16</v>
      </c>
      <c r="P518" s="14" t="s">
        <v>115</v>
      </c>
    </row>
    <row r="519" spans="1:16" s="14" customFormat="1" ht="13.5" customHeight="1">
      <c r="A519" s="179" t="s">
        <v>787</v>
      </c>
      <c r="B519" s="179" t="s">
        <v>146</v>
      </c>
      <c r="C519" s="179" t="s">
        <v>147</v>
      </c>
      <c r="D519" s="180" t="s">
        <v>788</v>
      </c>
      <c r="E519" s="181" t="s">
        <v>789</v>
      </c>
      <c r="F519" s="179" t="s">
        <v>143</v>
      </c>
      <c r="G519" s="182">
        <v>1</v>
      </c>
      <c r="H519" s="368"/>
      <c r="I519" s="183">
        <f t="shared" si="3"/>
        <v>0</v>
      </c>
      <c r="J519" s="184">
        <v>0.018</v>
      </c>
      <c r="K519" s="182">
        <f t="shared" si="4"/>
        <v>0.018</v>
      </c>
      <c r="L519" s="184">
        <v>0</v>
      </c>
      <c r="M519" s="182">
        <f t="shared" si="5"/>
        <v>0</v>
      </c>
      <c r="N519" s="185">
        <v>15</v>
      </c>
      <c r="O519" s="186">
        <v>32</v>
      </c>
      <c r="P519" s="187" t="s">
        <v>115</v>
      </c>
    </row>
    <row r="520" spans="1:16" s="14" customFormat="1" ht="13.5" customHeight="1">
      <c r="A520" s="164" t="s">
        <v>790</v>
      </c>
      <c r="B520" s="164" t="s">
        <v>110</v>
      </c>
      <c r="C520" s="164" t="s">
        <v>704</v>
      </c>
      <c r="D520" s="165" t="s">
        <v>791</v>
      </c>
      <c r="E520" s="166" t="s">
        <v>792</v>
      </c>
      <c r="F520" s="164" t="s">
        <v>143</v>
      </c>
      <c r="G520" s="167">
        <v>1</v>
      </c>
      <c r="H520" s="367"/>
      <c r="I520" s="168">
        <f t="shared" si="3"/>
        <v>0</v>
      </c>
      <c r="J520" s="169">
        <v>0</v>
      </c>
      <c r="K520" s="167">
        <f t="shared" si="4"/>
        <v>0</v>
      </c>
      <c r="L520" s="169">
        <v>0.017</v>
      </c>
      <c r="M520" s="167">
        <f t="shared" si="5"/>
        <v>0.017</v>
      </c>
      <c r="N520" s="170">
        <v>15</v>
      </c>
      <c r="O520" s="171">
        <v>16</v>
      </c>
      <c r="P520" s="14" t="s">
        <v>115</v>
      </c>
    </row>
    <row r="521" spans="1:16" s="14" customFormat="1" ht="13.5" customHeight="1">
      <c r="A521" s="164" t="s">
        <v>793</v>
      </c>
      <c r="B521" s="164" t="s">
        <v>110</v>
      </c>
      <c r="C521" s="164" t="s">
        <v>704</v>
      </c>
      <c r="D521" s="165" t="s">
        <v>794</v>
      </c>
      <c r="E521" s="166" t="s">
        <v>795</v>
      </c>
      <c r="F521" s="164" t="s">
        <v>143</v>
      </c>
      <c r="G521" s="167">
        <v>1</v>
      </c>
      <c r="H521" s="367"/>
      <c r="I521" s="168">
        <f t="shared" si="3"/>
        <v>0</v>
      </c>
      <c r="J521" s="169">
        <v>0</v>
      </c>
      <c r="K521" s="167">
        <f t="shared" si="4"/>
        <v>0</v>
      </c>
      <c r="L521" s="169">
        <v>0</v>
      </c>
      <c r="M521" s="167">
        <f t="shared" si="5"/>
        <v>0</v>
      </c>
      <c r="N521" s="170">
        <v>15</v>
      </c>
      <c r="O521" s="171">
        <v>16</v>
      </c>
      <c r="P521" s="14" t="s">
        <v>115</v>
      </c>
    </row>
    <row r="522" spans="1:16" s="14" customFormat="1" ht="13.5" customHeight="1">
      <c r="A522" s="179" t="s">
        <v>796</v>
      </c>
      <c r="B522" s="179" t="s">
        <v>146</v>
      </c>
      <c r="C522" s="179" t="s">
        <v>147</v>
      </c>
      <c r="D522" s="180" t="s">
        <v>797</v>
      </c>
      <c r="E522" s="181" t="s">
        <v>798</v>
      </c>
      <c r="F522" s="179" t="s">
        <v>143</v>
      </c>
      <c r="G522" s="182">
        <v>1</v>
      </c>
      <c r="H522" s="368"/>
      <c r="I522" s="183">
        <f t="shared" si="3"/>
        <v>0</v>
      </c>
      <c r="J522" s="184">
        <v>0.00139</v>
      </c>
      <c r="K522" s="182">
        <f t="shared" si="4"/>
        <v>0.00139</v>
      </c>
      <c r="L522" s="184">
        <v>0</v>
      </c>
      <c r="M522" s="182">
        <f t="shared" si="5"/>
        <v>0</v>
      </c>
      <c r="N522" s="185">
        <v>15</v>
      </c>
      <c r="O522" s="186">
        <v>32</v>
      </c>
      <c r="P522" s="187" t="s">
        <v>115</v>
      </c>
    </row>
    <row r="523" spans="1:16" s="14" customFormat="1" ht="13.5" customHeight="1">
      <c r="A523" s="164" t="s">
        <v>799</v>
      </c>
      <c r="B523" s="164" t="s">
        <v>110</v>
      </c>
      <c r="C523" s="164" t="s">
        <v>704</v>
      </c>
      <c r="D523" s="165" t="s">
        <v>800</v>
      </c>
      <c r="E523" s="166" t="s">
        <v>801</v>
      </c>
      <c r="F523" s="164" t="s">
        <v>46</v>
      </c>
      <c r="G523" s="370">
        <f>SUBTOTAL(9,I485:I522)/100</f>
        <v>0</v>
      </c>
      <c r="H523" s="367"/>
      <c r="I523" s="168">
        <f t="shared" si="3"/>
        <v>0</v>
      </c>
      <c r="J523" s="169">
        <v>0</v>
      </c>
      <c r="K523" s="167">
        <f t="shared" si="4"/>
        <v>0</v>
      </c>
      <c r="L523" s="169">
        <v>0</v>
      </c>
      <c r="M523" s="167">
        <f t="shared" si="5"/>
        <v>0</v>
      </c>
      <c r="N523" s="170">
        <v>15</v>
      </c>
      <c r="O523" s="171">
        <v>16</v>
      </c>
      <c r="P523" s="14" t="s">
        <v>115</v>
      </c>
    </row>
    <row r="524" spans="2:16" s="133" customFormat="1" ht="12.75" customHeight="1">
      <c r="B524" s="138" t="s">
        <v>63</v>
      </c>
      <c r="D524" s="139" t="s">
        <v>731</v>
      </c>
      <c r="E524" s="139" t="s">
        <v>802</v>
      </c>
      <c r="I524" s="140">
        <f>SUM(I525:I531)</f>
        <v>0</v>
      </c>
      <c r="K524" s="141">
        <f>SUM(K525:K531)</f>
        <v>0.00129</v>
      </c>
      <c r="M524" s="141">
        <f>SUM(M525:M531)</f>
        <v>0</v>
      </c>
      <c r="P524" s="139" t="s">
        <v>109</v>
      </c>
    </row>
    <row r="525" spans="1:16" s="14" customFormat="1" ht="13.5" customHeight="1">
      <c r="A525" s="179" t="s">
        <v>803</v>
      </c>
      <c r="B525" s="179" t="s">
        <v>146</v>
      </c>
      <c r="C525" s="179" t="s">
        <v>147</v>
      </c>
      <c r="D525" s="180" t="s">
        <v>804</v>
      </c>
      <c r="E525" s="181" t="s">
        <v>805</v>
      </c>
      <c r="F525" s="179" t="s">
        <v>167</v>
      </c>
      <c r="G525" s="182">
        <v>1</v>
      </c>
      <c r="H525" s="368"/>
      <c r="I525" s="183">
        <f aca="true" t="shared" si="6" ref="I525:I531">ROUND(G525*H525,2)</f>
        <v>0</v>
      </c>
      <c r="J525" s="184">
        <v>0</v>
      </c>
      <c r="K525" s="182">
        <f aca="true" t="shared" si="7" ref="K525:K531">G525*J525</f>
        <v>0</v>
      </c>
      <c r="L525" s="184">
        <v>0</v>
      </c>
      <c r="M525" s="182">
        <f aca="true" t="shared" si="8" ref="M525:M531">G525*L525</f>
        <v>0</v>
      </c>
      <c r="N525" s="185">
        <v>15</v>
      </c>
      <c r="O525" s="186">
        <v>32</v>
      </c>
      <c r="P525" s="187" t="s">
        <v>115</v>
      </c>
    </row>
    <row r="526" spans="1:16" s="14" customFormat="1" ht="13.5" customHeight="1">
      <c r="A526" s="164" t="s">
        <v>806</v>
      </c>
      <c r="B526" s="164" t="s">
        <v>110</v>
      </c>
      <c r="C526" s="164" t="s">
        <v>731</v>
      </c>
      <c r="D526" s="165" t="s">
        <v>807</v>
      </c>
      <c r="E526" s="166" t="s">
        <v>808</v>
      </c>
      <c r="F526" s="164" t="s">
        <v>809</v>
      </c>
      <c r="G526" s="167">
        <v>2</v>
      </c>
      <c r="H526" s="367"/>
      <c r="I526" s="168">
        <f t="shared" si="6"/>
        <v>0</v>
      </c>
      <c r="J526" s="169">
        <v>7E-05</v>
      </c>
      <c r="K526" s="167">
        <f t="shared" si="7"/>
        <v>0.00014</v>
      </c>
      <c r="L526" s="169">
        <v>0</v>
      </c>
      <c r="M526" s="167">
        <f t="shared" si="8"/>
        <v>0</v>
      </c>
      <c r="N526" s="170">
        <v>15</v>
      </c>
      <c r="O526" s="171">
        <v>16</v>
      </c>
      <c r="P526" s="14" t="s">
        <v>115</v>
      </c>
    </row>
    <row r="527" spans="1:16" s="14" customFormat="1" ht="13.5" customHeight="1">
      <c r="A527" s="179" t="s">
        <v>810</v>
      </c>
      <c r="B527" s="179" t="s">
        <v>146</v>
      </c>
      <c r="C527" s="179" t="s">
        <v>147</v>
      </c>
      <c r="D527" s="180" t="s">
        <v>811</v>
      </c>
      <c r="E527" s="181" t="s">
        <v>812</v>
      </c>
      <c r="F527" s="179" t="s">
        <v>143</v>
      </c>
      <c r="G527" s="182">
        <v>2</v>
      </c>
      <c r="H527" s="368"/>
      <c r="I527" s="183">
        <f t="shared" si="6"/>
        <v>0</v>
      </c>
      <c r="J527" s="184">
        <v>0.00055</v>
      </c>
      <c r="K527" s="182">
        <f t="shared" si="7"/>
        <v>0.0011</v>
      </c>
      <c r="L527" s="184">
        <v>0</v>
      </c>
      <c r="M527" s="182">
        <f t="shared" si="8"/>
        <v>0</v>
      </c>
      <c r="N527" s="185">
        <v>15</v>
      </c>
      <c r="O527" s="186">
        <v>32</v>
      </c>
      <c r="P527" s="187" t="s">
        <v>115</v>
      </c>
    </row>
    <row r="528" spans="1:16" s="14" customFormat="1" ht="24" customHeight="1">
      <c r="A528" s="164" t="s">
        <v>813</v>
      </c>
      <c r="B528" s="164" t="s">
        <v>110</v>
      </c>
      <c r="C528" s="164" t="s">
        <v>731</v>
      </c>
      <c r="D528" s="165" t="s">
        <v>814</v>
      </c>
      <c r="E528" s="166" t="s">
        <v>1506</v>
      </c>
      <c r="F528" s="164" t="s">
        <v>167</v>
      </c>
      <c r="G528" s="167">
        <v>1</v>
      </c>
      <c r="H528" s="367"/>
      <c r="I528" s="168">
        <f t="shared" si="6"/>
        <v>0</v>
      </c>
      <c r="J528" s="169">
        <v>5E-05</v>
      </c>
      <c r="K528" s="167">
        <f t="shared" si="7"/>
        <v>5E-05</v>
      </c>
      <c r="L528" s="169">
        <v>0</v>
      </c>
      <c r="M528" s="167">
        <f t="shared" si="8"/>
        <v>0</v>
      </c>
      <c r="N528" s="170">
        <v>15</v>
      </c>
      <c r="O528" s="171">
        <v>16</v>
      </c>
      <c r="P528" s="14" t="s">
        <v>115</v>
      </c>
    </row>
    <row r="529" spans="1:16" s="14" customFormat="1" ht="13.5" customHeight="1">
      <c r="A529" s="164" t="s">
        <v>815</v>
      </c>
      <c r="B529" s="164" t="s">
        <v>110</v>
      </c>
      <c r="C529" s="164" t="s">
        <v>345</v>
      </c>
      <c r="D529" s="165" t="s">
        <v>816</v>
      </c>
      <c r="E529" s="166" t="s">
        <v>817</v>
      </c>
      <c r="F529" s="164" t="s">
        <v>167</v>
      </c>
      <c r="G529" s="167">
        <v>1</v>
      </c>
      <c r="H529" s="367"/>
      <c r="I529" s="168">
        <f t="shared" si="6"/>
        <v>0</v>
      </c>
      <c r="J529" s="169">
        <v>0</v>
      </c>
      <c r="K529" s="167">
        <f t="shared" si="7"/>
        <v>0</v>
      </c>
      <c r="L529" s="169">
        <v>0</v>
      </c>
      <c r="M529" s="167">
        <f t="shared" si="8"/>
        <v>0</v>
      </c>
      <c r="N529" s="170">
        <v>15</v>
      </c>
      <c r="O529" s="171">
        <v>16</v>
      </c>
      <c r="P529" s="14" t="s">
        <v>115</v>
      </c>
    </row>
    <row r="530" spans="1:21" s="284" customFormat="1" ht="13.5" customHeight="1">
      <c r="A530" s="278" t="s">
        <v>815</v>
      </c>
      <c r="B530" s="278" t="s">
        <v>110</v>
      </c>
      <c r="C530" s="278" t="s">
        <v>345</v>
      </c>
      <c r="D530" s="279" t="s">
        <v>1471</v>
      </c>
      <c r="E530" s="300" t="s">
        <v>1472</v>
      </c>
      <c r="F530" s="301" t="s">
        <v>167</v>
      </c>
      <c r="G530" s="302">
        <v>1</v>
      </c>
      <c r="H530" s="369"/>
      <c r="I530" s="303">
        <f>ROUND(G530*H530,2)</f>
        <v>0</v>
      </c>
      <c r="J530" s="304">
        <v>0</v>
      </c>
      <c r="K530" s="302">
        <f>G530*J530</f>
        <v>0</v>
      </c>
      <c r="L530" s="304">
        <v>0</v>
      </c>
      <c r="M530" s="302">
        <f>G530*L530</f>
        <v>0</v>
      </c>
      <c r="N530" s="305">
        <v>15</v>
      </c>
      <c r="O530" s="306">
        <v>16</v>
      </c>
      <c r="P530" s="307" t="s">
        <v>115</v>
      </c>
      <c r="Q530" s="307"/>
      <c r="R530" s="307"/>
      <c r="S530" s="307"/>
      <c r="T530" s="307"/>
      <c r="U530" s="307"/>
    </row>
    <row r="531" spans="1:16" s="14" customFormat="1" ht="13.5" customHeight="1">
      <c r="A531" s="164" t="s">
        <v>818</v>
      </c>
      <c r="B531" s="164" t="s">
        <v>110</v>
      </c>
      <c r="C531" s="164" t="s">
        <v>731</v>
      </c>
      <c r="D531" s="165" t="s">
        <v>819</v>
      </c>
      <c r="E531" s="166" t="s">
        <v>820</v>
      </c>
      <c r="F531" s="164" t="s">
        <v>46</v>
      </c>
      <c r="G531" s="370">
        <f>SUBTOTAL(9,I525:I530)/100</f>
        <v>0</v>
      </c>
      <c r="H531" s="367"/>
      <c r="I531" s="168">
        <f t="shared" si="6"/>
        <v>0</v>
      </c>
      <c r="J531" s="169">
        <v>0</v>
      </c>
      <c r="K531" s="167">
        <f t="shared" si="7"/>
        <v>0</v>
      </c>
      <c r="L531" s="169">
        <v>0</v>
      </c>
      <c r="M531" s="167">
        <f t="shared" si="8"/>
        <v>0</v>
      </c>
      <c r="N531" s="170">
        <v>15</v>
      </c>
      <c r="O531" s="171">
        <v>16</v>
      </c>
      <c r="P531" s="14" t="s">
        <v>115</v>
      </c>
    </row>
    <row r="532" spans="2:16" s="133" customFormat="1" ht="12.75" customHeight="1">
      <c r="B532" s="138" t="s">
        <v>63</v>
      </c>
      <c r="D532" s="139" t="s">
        <v>821</v>
      </c>
      <c r="E532" s="139" t="s">
        <v>822</v>
      </c>
      <c r="I532" s="140">
        <f>SUM(I533:I543)</f>
        <v>0</v>
      </c>
      <c r="K532" s="141">
        <f>SUM(K533:K543)</f>
        <v>0.6383025</v>
      </c>
      <c r="M532" s="141">
        <f>SUM(M533:M543)</f>
        <v>0</v>
      </c>
      <c r="P532" s="139" t="s">
        <v>109</v>
      </c>
    </row>
    <row r="533" spans="1:16" s="14" customFormat="1" ht="13.5" customHeight="1" collapsed="1">
      <c r="A533" s="164" t="s">
        <v>823</v>
      </c>
      <c r="B533" s="164" t="s">
        <v>110</v>
      </c>
      <c r="C533" s="164" t="s">
        <v>821</v>
      </c>
      <c r="D533" s="165" t="s">
        <v>824</v>
      </c>
      <c r="E533" s="166" t="s">
        <v>825</v>
      </c>
      <c r="F533" s="164" t="s">
        <v>385</v>
      </c>
      <c r="G533" s="167">
        <f>SUM(G534:G535)</f>
        <v>16.05</v>
      </c>
      <c r="H533" s="367"/>
      <c r="I533" s="168">
        <f>ROUND(G533*H533,2)</f>
        <v>0</v>
      </c>
      <c r="J533" s="169">
        <v>0.00056</v>
      </c>
      <c r="K533" s="167">
        <f>G533*J533</f>
        <v>0.008988</v>
      </c>
      <c r="L533" s="169">
        <v>0</v>
      </c>
      <c r="M533" s="167">
        <f>G533*L533</f>
        <v>0</v>
      </c>
      <c r="N533" s="170">
        <v>15</v>
      </c>
      <c r="O533" s="171">
        <v>16</v>
      </c>
      <c r="P533" s="14" t="s">
        <v>115</v>
      </c>
    </row>
    <row r="534" spans="4:19" s="14" customFormat="1" ht="15.75" customHeight="1" hidden="1" outlineLevel="1">
      <c r="D534" s="172"/>
      <c r="E534" s="173" t="s">
        <v>826</v>
      </c>
      <c r="G534" s="174">
        <v>11.5</v>
      </c>
      <c r="P534" s="172" t="s">
        <v>115</v>
      </c>
      <c r="Q534" s="172" t="s">
        <v>115</v>
      </c>
      <c r="R534" s="172" t="s">
        <v>116</v>
      </c>
      <c r="S534" s="172" t="s">
        <v>106</v>
      </c>
    </row>
    <row r="535" spans="4:19" s="14" customFormat="1" ht="15.75" customHeight="1" hidden="1" outlineLevel="1">
      <c r="D535" s="172"/>
      <c r="E535" s="173" t="s">
        <v>827</v>
      </c>
      <c r="G535" s="174">
        <v>4.55</v>
      </c>
      <c r="P535" s="172" t="s">
        <v>115</v>
      </c>
      <c r="Q535" s="172" t="s">
        <v>115</v>
      </c>
      <c r="R535" s="172" t="s">
        <v>116</v>
      </c>
      <c r="S535" s="172" t="s">
        <v>106</v>
      </c>
    </row>
    <row r="536" spans="1:16" s="14" customFormat="1" ht="24" customHeight="1" collapsed="1">
      <c r="A536" s="164" t="s">
        <v>828</v>
      </c>
      <c r="B536" s="164" t="s">
        <v>110</v>
      </c>
      <c r="C536" s="164" t="s">
        <v>821</v>
      </c>
      <c r="D536" s="165" t="s">
        <v>829</v>
      </c>
      <c r="E536" s="166" t="s">
        <v>830</v>
      </c>
      <c r="F536" s="164" t="s">
        <v>124</v>
      </c>
      <c r="G536" s="167">
        <f>SUM(G537:G539)</f>
        <v>26.8</v>
      </c>
      <c r="H536" s="367"/>
      <c r="I536" s="168">
        <f>ROUND(G536*H536,2)</f>
        <v>0</v>
      </c>
      <c r="J536" s="169">
        <v>0.00345</v>
      </c>
      <c r="K536" s="167">
        <f>G536*J536</f>
        <v>0.09246</v>
      </c>
      <c r="L536" s="169">
        <v>0</v>
      </c>
      <c r="M536" s="167">
        <f>G536*L536</f>
        <v>0</v>
      </c>
      <c r="N536" s="170">
        <v>15</v>
      </c>
      <c r="O536" s="171">
        <v>16</v>
      </c>
      <c r="P536" s="14" t="s">
        <v>115</v>
      </c>
    </row>
    <row r="537" spans="4:19" s="14" customFormat="1" ht="15.75" customHeight="1" hidden="1" outlineLevel="1">
      <c r="D537" s="299" t="s">
        <v>831</v>
      </c>
      <c r="E537" s="173" t="s">
        <v>1355</v>
      </c>
      <c r="G537" s="174">
        <f>7.53+2.5</f>
        <v>10.030000000000001</v>
      </c>
      <c r="P537" s="172" t="s">
        <v>115</v>
      </c>
      <c r="Q537" s="172" t="s">
        <v>115</v>
      </c>
      <c r="R537" s="172" t="s">
        <v>116</v>
      </c>
      <c r="S537" s="172" t="s">
        <v>106</v>
      </c>
    </row>
    <row r="538" spans="4:19" s="14" customFormat="1" ht="15.75" customHeight="1" hidden="1" outlineLevel="1">
      <c r="D538" s="299" t="s">
        <v>832</v>
      </c>
      <c r="E538" s="173" t="s">
        <v>1356</v>
      </c>
      <c r="G538" s="174">
        <f>(1.18+3.81)</f>
        <v>4.99</v>
      </c>
      <c r="P538" s="172" t="s">
        <v>115</v>
      </c>
      <c r="Q538" s="172" t="s">
        <v>115</v>
      </c>
      <c r="R538" s="172" t="s">
        <v>116</v>
      </c>
      <c r="S538" s="172" t="s">
        <v>106</v>
      </c>
    </row>
    <row r="539" spans="4:19" s="14" customFormat="1" ht="15.75" customHeight="1" hidden="1" outlineLevel="1">
      <c r="D539" s="299" t="s">
        <v>833</v>
      </c>
      <c r="E539" s="173" t="s">
        <v>1357</v>
      </c>
      <c r="G539" s="174">
        <f>9.59+2.19</f>
        <v>11.78</v>
      </c>
      <c r="P539" s="172" t="s">
        <v>115</v>
      </c>
      <c r="Q539" s="172" t="s">
        <v>115</v>
      </c>
      <c r="R539" s="172" t="s">
        <v>116</v>
      </c>
      <c r="S539" s="172" t="s">
        <v>106</v>
      </c>
    </row>
    <row r="540" spans="1:16" s="14" customFormat="1" ht="13.5" customHeight="1" collapsed="1">
      <c r="A540" s="179" t="s">
        <v>834</v>
      </c>
      <c r="B540" s="179" t="s">
        <v>146</v>
      </c>
      <c r="C540" s="179" t="s">
        <v>147</v>
      </c>
      <c r="D540" s="180" t="s">
        <v>835</v>
      </c>
      <c r="E540" s="181" t="s">
        <v>836</v>
      </c>
      <c r="F540" s="179" t="s">
        <v>124</v>
      </c>
      <c r="G540" s="182">
        <f>SUM(G541:G542)*1.05</f>
        <v>29.825250000000004</v>
      </c>
      <c r="H540" s="368"/>
      <c r="I540" s="183">
        <f>ROUND(G540*H540,2)</f>
        <v>0</v>
      </c>
      <c r="J540" s="184">
        <v>0.018</v>
      </c>
      <c r="K540" s="182">
        <f>G540*J540</f>
        <v>0.5368545</v>
      </c>
      <c r="L540" s="184">
        <v>0</v>
      </c>
      <c r="M540" s="182">
        <f>G540*L540</f>
        <v>0</v>
      </c>
      <c r="N540" s="185">
        <v>15</v>
      </c>
      <c r="O540" s="186">
        <v>32</v>
      </c>
      <c r="P540" s="187" t="s">
        <v>115</v>
      </c>
    </row>
    <row r="541" spans="4:19" s="14" customFormat="1" ht="15.75" customHeight="1" hidden="1" outlineLevel="1">
      <c r="D541" s="172"/>
      <c r="E541" s="173" t="s">
        <v>1358</v>
      </c>
      <c r="G541" s="174">
        <v>26.8</v>
      </c>
      <c r="P541" s="172" t="s">
        <v>115</v>
      </c>
      <c r="Q541" s="172" t="s">
        <v>115</v>
      </c>
      <c r="R541" s="172" t="s">
        <v>116</v>
      </c>
      <c r="S541" s="172" t="s">
        <v>106</v>
      </c>
    </row>
    <row r="542" spans="4:19" s="14" customFormat="1" ht="15.75" customHeight="1" hidden="1" outlineLevel="1">
      <c r="D542" s="172"/>
      <c r="E542" s="173" t="s">
        <v>1359</v>
      </c>
      <c r="G542" s="174">
        <f>16.05*0.1</f>
        <v>1.6050000000000002</v>
      </c>
      <c r="P542" s="172" t="s">
        <v>115</v>
      </c>
      <c r="Q542" s="172" t="s">
        <v>115</v>
      </c>
      <c r="R542" s="172" t="s">
        <v>116</v>
      </c>
      <c r="S542" s="172" t="s">
        <v>106</v>
      </c>
    </row>
    <row r="543" spans="1:16" s="14" customFormat="1" ht="13.5" customHeight="1">
      <c r="A543" s="164" t="s">
        <v>837</v>
      </c>
      <c r="B543" s="164" t="s">
        <v>110</v>
      </c>
      <c r="C543" s="164" t="s">
        <v>821</v>
      </c>
      <c r="D543" s="165" t="s">
        <v>838</v>
      </c>
      <c r="E543" s="166" t="s">
        <v>839</v>
      </c>
      <c r="F543" s="164" t="s">
        <v>46</v>
      </c>
      <c r="G543" s="370">
        <f>SUBTOTAL(9,I533:I542)/100</f>
        <v>0</v>
      </c>
      <c r="H543" s="367"/>
      <c r="I543" s="168">
        <f>ROUND(G543*H543,2)</f>
        <v>0</v>
      </c>
      <c r="J543" s="169">
        <v>0</v>
      </c>
      <c r="K543" s="167">
        <f>G543*J543</f>
        <v>0</v>
      </c>
      <c r="L543" s="169">
        <v>0</v>
      </c>
      <c r="M543" s="167">
        <f>G543*L543</f>
        <v>0</v>
      </c>
      <c r="N543" s="170">
        <v>15</v>
      </c>
      <c r="O543" s="171">
        <v>16</v>
      </c>
      <c r="P543" s="14" t="s">
        <v>115</v>
      </c>
    </row>
    <row r="544" spans="2:16" s="133" customFormat="1" ht="12.75" customHeight="1">
      <c r="B544" s="138" t="s">
        <v>63</v>
      </c>
      <c r="D544" s="139" t="s">
        <v>840</v>
      </c>
      <c r="E544" s="139" t="s">
        <v>841</v>
      </c>
      <c r="I544" s="140">
        <f>SUM(I545:I561)</f>
        <v>0</v>
      </c>
      <c r="K544" s="141">
        <f>SUM(K545:K561)</f>
        <v>1.315893546</v>
      </c>
      <c r="M544" s="141">
        <f>SUM(M545:M561)</f>
        <v>0</v>
      </c>
      <c r="P544" s="139" t="s">
        <v>109</v>
      </c>
    </row>
    <row r="545" spans="1:16" s="14" customFormat="1" ht="13.5" customHeight="1" collapsed="1">
      <c r="A545" s="164" t="s">
        <v>842</v>
      </c>
      <c r="B545" s="164" t="s">
        <v>110</v>
      </c>
      <c r="C545" s="164" t="s">
        <v>840</v>
      </c>
      <c r="D545" s="165" t="s">
        <v>843</v>
      </c>
      <c r="E545" s="166" t="s">
        <v>844</v>
      </c>
      <c r="F545" s="164" t="s">
        <v>385</v>
      </c>
      <c r="G545" s="167">
        <f>SUM(G546:G553)</f>
        <v>133.59199999999998</v>
      </c>
      <c r="H545" s="367"/>
      <c r="I545" s="168">
        <f>ROUND(G545*H545,2)</f>
        <v>0</v>
      </c>
      <c r="J545" s="169">
        <v>3E-05</v>
      </c>
      <c r="K545" s="167">
        <f>G545*J545</f>
        <v>0.00400776</v>
      </c>
      <c r="L545" s="169">
        <v>0</v>
      </c>
      <c r="M545" s="167">
        <f>G545*L545</f>
        <v>0</v>
      </c>
      <c r="N545" s="170">
        <v>15</v>
      </c>
      <c r="O545" s="171">
        <v>16</v>
      </c>
      <c r="P545" s="14" t="s">
        <v>115</v>
      </c>
    </row>
    <row r="546" spans="4:19" s="14" customFormat="1" ht="15.75" customHeight="1" hidden="1" outlineLevel="1">
      <c r="D546" s="172"/>
      <c r="E546" s="173" t="s">
        <v>845</v>
      </c>
      <c r="G546" s="174">
        <v>20.22</v>
      </c>
      <c r="P546" s="172" t="s">
        <v>115</v>
      </c>
      <c r="Q546" s="172" t="s">
        <v>115</v>
      </c>
      <c r="R546" s="172" t="s">
        <v>116</v>
      </c>
      <c r="S546" s="172" t="s">
        <v>106</v>
      </c>
    </row>
    <row r="547" spans="4:19" s="14" customFormat="1" ht="15.75" customHeight="1" hidden="1" outlineLevel="1">
      <c r="D547" s="172"/>
      <c r="E547" s="173" t="s">
        <v>846</v>
      </c>
      <c r="G547" s="174">
        <v>16.79</v>
      </c>
      <c r="P547" s="172" t="s">
        <v>115</v>
      </c>
      <c r="Q547" s="172" t="s">
        <v>115</v>
      </c>
      <c r="R547" s="172" t="s">
        <v>116</v>
      </c>
      <c r="S547" s="172" t="s">
        <v>106</v>
      </c>
    </row>
    <row r="548" spans="4:19" s="14" customFormat="1" ht="15.75" customHeight="1" hidden="1" outlineLevel="1">
      <c r="D548" s="172"/>
      <c r="E548" s="173" t="s">
        <v>847</v>
      </c>
      <c r="G548" s="174">
        <v>5.972</v>
      </c>
      <c r="P548" s="172" t="s">
        <v>115</v>
      </c>
      <c r="Q548" s="172" t="s">
        <v>115</v>
      </c>
      <c r="R548" s="172" t="s">
        <v>116</v>
      </c>
      <c r="S548" s="172" t="s">
        <v>106</v>
      </c>
    </row>
    <row r="549" spans="4:19" s="14" customFormat="1" ht="15.75" customHeight="1" hidden="1" outlineLevel="1">
      <c r="D549" s="172"/>
      <c r="E549" s="173" t="s">
        <v>848</v>
      </c>
      <c r="G549" s="174">
        <v>21.07</v>
      </c>
      <c r="P549" s="172" t="s">
        <v>115</v>
      </c>
      <c r="Q549" s="172" t="s">
        <v>115</v>
      </c>
      <c r="R549" s="172" t="s">
        <v>116</v>
      </c>
      <c r="S549" s="172" t="s">
        <v>106</v>
      </c>
    </row>
    <row r="550" spans="4:19" s="14" customFormat="1" ht="15.75" customHeight="1" hidden="1" outlineLevel="1">
      <c r="D550" s="172"/>
      <c r="E550" s="173" t="s">
        <v>849</v>
      </c>
      <c r="G550" s="174">
        <v>11.21</v>
      </c>
      <c r="P550" s="172" t="s">
        <v>115</v>
      </c>
      <c r="Q550" s="172" t="s">
        <v>115</v>
      </c>
      <c r="R550" s="172" t="s">
        <v>116</v>
      </c>
      <c r="S550" s="172" t="s">
        <v>106</v>
      </c>
    </row>
    <row r="551" spans="4:19" s="14" customFormat="1" ht="15.75" customHeight="1" hidden="1" outlineLevel="1">
      <c r="D551" s="172"/>
      <c r="E551" s="173" t="s">
        <v>850</v>
      </c>
      <c r="G551" s="174">
        <v>28.7</v>
      </c>
      <c r="P551" s="172" t="s">
        <v>115</v>
      </c>
      <c r="Q551" s="172" t="s">
        <v>115</v>
      </c>
      <c r="R551" s="172" t="s">
        <v>116</v>
      </c>
      <c r="S551" s="172" t="s">
        <v>106</v>
      </c>
    </row>
    <row r="552" spans="4:19" s="14" customFormat="1" ht="15.75" customHeight="1" hidden="1" outlineLevel="1">
      <c r="D552" s="172"/>
      <c r="E552" s="173" t="s">
        <v>851</v>
      </c>
      <c r="G552" s="174">
        <v>15.1</v>
      </c>
      <c r="P552" s="172" t="s">
        <v>115</v>
      </c>
      <c r="Q552" s="172" t="s">
        <v>115</v>
      </c>
      <c r="R552" s="172" t="s">
        <v>116</v>
      </c>
      <c r="S552" s="172" t="s">
        <v>106</v>
      </c>
    </row>
    <row r="553" spans="4:19" s="14" customFormat="1" ht="15.75" customHeight="1" hidden="1" outlineLevel="1">
      <c r="D553" s="172"/>
      <c r="E553" s="173" t="s">
        <v>852</v>
      </c>
      <c r="G553" s="174">
        <v>14.53</v>
      </c>
      <c r="P553" s="172" t="s">
        <v>115</v>
      </c>
      <c r="Q553" s="172" t="s">
        <v>115</v>
      </c>
      <c r="R553" s="172" t="s">
        <v>116</v>
      </c>
      <c r="S553" s="172" t="s">
        <v>106</v>
      </c>
    </row>
    <row r="554" spans="1:16" s="14" customFormat="1" ht="13.5" customHeight="1">
      <c r="A554" s="179" t="s">
        <v>853</v>
      </c>
      <c r="B554" s="179" t="s">
        <v>146</v>
      </c>
      <c r="C554" s="179" t="s">
        <v>147</v>
      </c>
      <c r="D554" s="180" t="s">
        <v>854</v>
      </c>
      <c r="E554" s="181" t="s">
        <v>855</v>
      </c>
      <c r="F554" s="179" t="s">
        <v>385</v>
      </c>
      <c r="G554" s="182">
        <f>G545*1.05</f>
        <v>140.27159999999998</v>
      </c>
      <c r="H554" s="368"/>
      <c r="I554" s="183">
        <f>ROUND(G554*H554,2)</f>
        <v>0</v>
      </c>
      <c r="J554" s="184">
        <v>0.00021</v>
      </c>
      <c r="K554" s="182">
        <f>G554*J554</f>
        <v>0.029457035999999995</v>
      </c>
      <c r="L554" s="184">
        <v>0</v>
      </c>
      <c r="M554" s="182">
        <f>G554*L554</f>
        <v>0</v>
      </c>
      <c r="N554" s="185">
        <v>15</v>
      </c>
      <c r="O554" s="186">
        <v>32</v>
      </c>
      <c r="P554" s="187" t="s">
        <v>115</v>
      </c>
    </row>
    <row r="555" spans="1:16" s="14" customFormat="1" ht="24" customHeight="1" collapsed="1">
      <c r="A555" s="164" t="s">
        <v>856</v>
      </c>
      <c r="B555" s="164" t="s">
        <v>110</v>
      </c>
      <c r="C555" s="164" t="s">
        <v>840</v>
      </c>
      <c r="D555" s="165" t="s">
        <v>857</v>
      </c>
      <c r="E555" s="166" t="s">
        <v>858</v>
      </c>
      <c r="F555" s="164" t="s">
        <v>124</v>
      </c>
      <c r="G555" s="167">
        <f>SUM(G556:G559)</f>
        <v>153.75</v>
      </c>
      <c r="H555" s="367"/>
      <c r="I555" s="168">
        <f>ROUND(G555*H555,2)</f>
        <v>0</v>
      </c>
      <c r="J555" s="169">
        <v>0.00013</v>
      </c>
      <c r="K555" s="167">
        <f>G555*J555</f>
        <v>0.0199875</v>
      </c>
      <c r="L555" s="169">
        <v>0</v>
      </c>
      <c r="M555" s="167">
        <f>G555*L555</f>
        <v>0</v>
      </c>
      <c r="N555" s="170">
        <v>15</v>
      </c>
      <c r="O555" s="171">
        <v>16</v>
      </c>
      <c r="P555" s="14" t="s">
        <v>115</v>
      </c>
    </row>
    <row r="556" spans="4:19" s="14" customFormat="1" ht="15.75" customHeight="1" hidden="1" outlineLevel="1">
      <c r="D556" s="299" t="s">
        <v>859</v>
      </c>
      <c r="E556" s="173" t="s">
        <v>1360</v>
      </c>
      <c r="G556" s="174">
        <v>8.85</v>
      </c>
      <c r="P556" s="172" t="s">
        <v>115</v>
      </c>
      <c r="Q556" s="172" t="s">
        <v>115</v>
      </c>
      <c r="R556" s="172" t="s">
        <v>116</v>
      </c>
      <c r="S556" s="172" t="s">
        <v>106</v>
      </c>
    </row>
    <row r="557" spans="4:19" s="14" customFormat="1" ht="15.75" customHeight="1" hidden="1" outlineLevel="1">
      <c r="D557" s="299" t="s">
        <v>860</v>
      </c>
      <c r="E557" s="173" t="s">
        <v>1361</v>
      </c>
      <c r="G557" s="174">
        <f>26.07+18.64</f>
        <v>44.71</v>
      </c>
      <c r="P557" s="172" t="s">
        <v>115</v>
      </c>
      <c r="Q557" s="172" t="s">
        <v>115</v>
      </c>
      <c r="R557" s="172" t="s">
        <v>116</v>
      </c>
      <c r="S557" s="172" t="s">
        <v>106</v>
      </c>
    </row>
    <row r="558" spans="4:19" s="14" customFormat="1" ht="15.75" customHeight="1" hidden="1" outlineLevel="1">
      <c r="D558" s="299" t="s">
        <v>861</v>
      </c>
      <c r="E558" s="173" t="s">
        <v>1362</v>
      </c>
      <c r="G558" s="174">
        <v>32.01</v>
      </c>
      <c r="P558" s="172" t="s">
        <v>115</v>
      </c>
      <c r="Q558" s="172" t="s">
        <v>115</v>
      </c>
      <c r="R558" s="172" t="s">
        <v>116</v>
      </c>
      <c r="S558" s="172" t="s">
        <v>106</v>
      </c>
    </row>
    <row r="559" spans="4:19" s="14" customFormat="1" ht="15.75" customHeight="1" hidden="1" outlineLevel="1">
      <c r="D559" s="299" t="s">
        <v>862</v>
      </c>
      <c r="E559" s="173" t="s">
        <v>1363</v>
      </c>
      <c r="G559" s="174">
        <f>13.02+25.66+14.83+14.67</f>
        <v>68.17999999999999</v>
      </c>
      <c r="P559" s="172" t="s">
        <v>115</v>
      </c>
      <c r="Q559" s="172" t="s">
        <v>115</v>
      </c>
      <c r="R559" s="172" t="s">
        <v>116</v>
      </c>
      <c r="S559" s="172" t="s">
        <v>106</v>
      </c>
    </row>
    <row r="560" spans="1:16" s="14" customFormat="1" ht="13.5" customHeight="1">
      <c r="A560" s="179" t="s">
        <v>863</v>
      </c>
      <c r="B560" s="179" t="s">
        <v>146</v>
      </c>
      <c r="C560" s="179" t="s">
        <v>147</v>
      </c>
      <c r="D560" s="180" t="s">
        <v>864</v>
      </c>
      <c r="E560" s="181" t="s">
        <v>865</v>
      </c>
      <c r="F560" s="179" t="s">
        <v>124</v>
      </c>
      <c r="G560" s="182">
        <f>G555*1.05</f>
        <v>161.4375</v>
      </c>
      <c r="H560" s="368"/>
      <c r="I560" s="183">
        <f>ROUND(G560*H560,2)</f>
        <v>0</v>
      </c>
      <c r="J560" s="184">
        <v>0.00782</v>
      </c>
      <c r="K560" s="182">
        <f>G560*J560</f>
        <v>1.2624412500000002</v>
      </c>
      <c r="L560" s="184">
        <v>0</v>
      </c>
      <c r="M560" s="182">
        <f>G560*L560</f>
        <v>0</v>
      </c>
      <c r="N560" s="185">
        <v>15</v>
      </c>
      <c r="O560" s="186">
        <v>32</v>
      </c>
      <c r="P560" s="187" t="s">
        <v>115</v>
      </c>
    </row>
    <row r="561" spans="1:16" s="14" customFormat="1" ht="13.5" customHeight="1">
      <c r="A561" s="164" t="s">
        <v>866</v>
      </c>
      <c r="B561" s="164" t="s">
        <v>110</v>
      </c>
      <c r="C561" s="164" t="s">
        <v>840</v>
      </c>
      <c r="D561" s="165" t="s">
        <v>867</v>
      </c>
      <c r="E561" s="166" t="s">
        <v>868</v>
      </c>
      <c r="F561" s="164" t="s">
        <v>46</v>
      </c>
      <c r="G561" s="370">
        <f>SUBTOTAL(9,I545:I560)/100</f>
        <v>0</v>
      </c>
      <c r="H561" s="367"/>
      <c r="I561" s="168">
        <f>ROUND(G561*H561,2)</f>
        <v>0</v>
      </c>
      <c r="J561" s="169">
        <v>0</v>
      </c>
      <c r="K561" s="167">
        <f>G561*J561</f>
        <v>0</v>
      </c>
      <c r="L561" s="169">
        <v>0</v>
      </c>
      <c r="M561" s="167">
        <f>G561*L561</f>
        <v>0</v>
      </c>
      <c r="N561" s="170">
        <v>15</v>
      </c>
      <c r="O561" s="171">
        <v>16</v>
      </c>
      <c r="P561" s="14" t="s">
        <v>115</v>
      </c>
    </row>
    <row r="562" spans="2:16" s="133" customFormat="1" ht="12.75" customHeight="1">
      <c r="B562" s="138" t="s">
        <v>63</v>
      </c>
      <c r="D562" s="139" t="s">
        <v>869</v>
      </c>
      <c r="E562" s="139" t="s">
        <v>870</v>
      </c>
      <c r="I562" s="140">
        <f>SUM(I563:I569)</f>
        <v>0</v>
      </c>
      <c r="K562" s="141">
        <f>SUM(K563:K569)</f>
        <v>1.8134920399999999</v>
      </c>
      <c r="M562" s="141">
        <f>SUM(M563:M569)</f>
        <v>0</v>
      </c>
      <c r="P562" s="139" t="s">
        <v>109</v>
      </c>
    </row>
    <row r="563" spans="1:16" s="14" customFormat="1" ht="24" customHeight="1" collapsed="1">
      <c r="A563" s="164" t="s">
        <v>871</v>
      </c>
      <c r="B563" s="164" t="s">
        <v>110</v>
      </c>
      <c r="C563" s="164" t="s">
        <v>869</v>
      </c>
      <c r="D563" s="165" t="s">
        <v>872</v>
      </c>
      <c r="E563" s="166" t="s">
        <v>873</v>
      </c>
      <c r="F563" s="164" t="s">
        <v>124</v>
      </c>
      <c r="G563" s="167">
        <f>SUM(G564:G567)</f>
        <v>48.116</v>
      </c>
      <c r="H563" s="367"/>
      <c r="I563" s="168">
        <f>ROUND(G563*H563,2)</f>
        <v>0</v>
      </c>
      <c r="J563" s="169">
        <v>0.02446</v>
      </c>
      <c r="K563" s="167">
        <f>G563*J563</f>
        <v>1.17691736</v>
      </c>
      <c r="L563" s="169">
        <v>0</v>
      </c>
      <c r="M563" s="167">
        <f>G563*L563</f>
        <v>0</v>
      </c>
      <c r="N563" s="170">
        <v>15</v>
      </c>
      <c r="O563" s="171">
        <v>16</v>
      </c>
      <c r="P563" s="14" t="s">
        <v>115</v>
      </c>
    </row>
    <row r="564" spans="4:19" s="14" customFormat="1" ht="15.75" customHeight="1" hidden="1" outlineLevel="1">
      <c r="D564" s="172"/>
      <c r="E564" s="173" t="s">
        <v>254</v>
      </c>
      <c r="G564" s="174">
        <v>4.848</v>
      </c>
      <c r="P564" s="172" t="s">
        <v>115</v>
      </c>
      <c r="Q564" s="172" t="s">
        <v>115</v>
      </c>
      <c r="R564" s="172" t="s">
        <v>116</v>
      </c>
      <c r="S564" s="172" t="s">
        <v>106</v>
      </c>
    </row>
    <row r="565" spans="4:19" s="14" customFormat="1" ht="15.75" customHeight="1" hidden="1" outlineLevel="1">
      <c r="D565" s="172"/>
      <c r="E565" s="173" t="s">
        <v>255</v>
      </c>
      <c r="G565" s="174">
        <v>16.52</v>
      </c>
      <c r="P565" s="172" t="s">
        <v>115</v>
      </c>
      <c r="Q565" s="172" t="s">
        <v>115</v>
      </c>
      <c r="R565" s="172" t="s">
        <v>116</v>
      </c>
      <c r="S565" s="172" t="s">
        <v>106</v>
      </c>
    </row>
    <row r="566" spans="4:19" s="14" customFormat="1" ht="15.75" customHeight="1" hidden="1" outlineLevel="1">
      <c r="D566" s="172"/>
      <c r="E566" s="173" t="s">
        <v>256</v>
      </c>
      <c r="G566" s="174">
        <v>19.56</v>
      </c>
      <c r="P566" s="172" t="s">
        <v>115</v>
      </c>
      <c r="Q566" s="172" t="s">
        <v>115</v>
      </c>
      <c r="R566" s="172" t="s">
        <v>116</v>
      </c>
      <c r="S566" s="172" t="s">
        <v>106</v>
      </c>
    </row>
    <row r="567" spans="4:19" s="14" customFormat="1" ht="15.75" customHeight="1" hidden="1" outlineLevel="1">
      <c r="D567" s="172"/>
      <c r="E567" s="173" t="s">
        <v>257</v>
      </c>
      <c r="G567" s="174">
        <v>7.188</v>
      </c>
      <c r="P567" s="172" t="s">
        <v>115</v>
      </c>
      <c r="Q567" s="172" t="s">
        <v>115</v>
      </c>
      <c r="R567" s="172" t="s">
        <v>116</v>
      </c>
      <c r="S567" s="172" t="s">
        <v>106</v>
      </c>
    </row>
    <row r="568" spans="1:16" s="14" customFormat="1" ht="13.5" customHeight="1">
      <c r="A568" s="179" t="s">
        <v>874</v>
      </c>
      <c r="B568" s="179" t="s">
        <v>146</v>
      </c>
      <c r="C568" s="179" t="s">
        <v>147</v>
      </c>
      <c r="D568" s="180" t="s">
        <v>875</v>
      </c>
      <c r="E568" s="181" t="s">
        <v>876</v>
      </c>
      <c r="F568" s="179" t="s">
        <v>124</v>
      </c>
      <c r="G568" s="182">
        <f>G563*1.05</f>
        <v>50.5218</v>
      </c>
      <c r="H568" s="368"/>
      <c r="I568" s="183">
        <f>ROUND(G568*H568,2)</f>
        <v>0</v>
      </c>
      <c r="J568" s="184">
        <v>0.0126</v>
      </c>
      <c r="K568" s="182">
        <f>G568*J568</f>
        <v>0.63657468</v>
      </c>
      <c r="L568" s="184">
        <v>0</v>
      </c>
      <c r="M568" s="182">
        <f>G568*L568</f>
        <v>0</v>
      </c>
      <c r="N568" s="185">
        <v>15</v>
      </c>
      <c r="O568" s="186">
        <v>32</v>
      </c>
      <c r="P568" s="187" t="s">
        <v>115</v>
      </c>
    </row>
    <row r="569" spans="1:16" s="14" customFormat="1" ht="13.5" customHeight="1">
      <c r="A569" s="164" t="s">
        <v>877</v>
      </c>
      <c r="B569" s="164" t="s">
        <v>110</v>
      </c>
      <c r="C569" s="164" t="s">
        <v>869</v>
      </c>
      <c r="D569" s="165" t="s">
        <v>878</v>
      </c>
      <c r="E569" s="166" t="s">
        <v>879</v>
      </c>
      <c r="F569" s="164" t="s">
        <v>46</v>
      </c>
      <c r="G569" s="370">
        <f>SUBTOTAL(9,I563:I568)/100</f>
        <v>0</v>
      </c>
      <c r="H569" s="367"/>
      <c r="I569" s="168">
        <f>ROUND(G569*H569,2)</f>
        <v>0</v>
      </c>
      <c r="J569" s="169">
        <v>0</v>
      </c>
      <c r="K569" s="167">
        <f>G569*J569</f>
        <v>0</v>
      </c>
      <c r="L569" s="169">
        <v>0</v>
      </c>
      <c r="M569" s="167">
        <f>G569*L569</f>
        <v>0</v>
      </c>
      <c r="N569" s="170">
        <v>15</v>
      </c>
      <c r="O569" s="171">
        <v>16</v>
      </c>
      <c r="P569" s="14" t="s">
        <v>115</v>
      </c>
    </row>
    <row r="570" spans="2:16" s="133" customFormat="1" ht="12.75" customHeight="1">
      <c r="B570" s="138" t="s">
        <v>63</v>
      </c>
      <c r="D570" s="139" t="s">
        <v>880</v>
      </c>
      <c r="E570" s="139" t="s">
        <v>881</v>
      </c>
      <c r="I570" s="140">
        <f>SUM(I571:I590)</f>
        <v>0</v>
      </c>
      <c r="K570" s="141">
        <f>SUM(K571:K590)</f>
        <v>0.0260044206</v>
      </c>
      <c r="M570" s="141">
        <f>SUM(M571:M590)</f>
        <v>0</v>
      </c>
      <c r="P570" s="139" t="s">
        <v>109</v>
      </c>
    </row>
    <row r="571" spans="1:16" s="14" customFormat="1" ht="13.5" customHeight="1" collapsed="1">
      <c r="A571" s="164" t="s">
        <v>882</v>
      </c>
      <c r="B571" s="164" t="s">
        <v>110</v>
      </c>
      <c r="C571" s="164" t="s">
        <v>880</v>
      </c>
      <c r="D571" s="165" t="s">
        <v>883</v>
      </c>
      <c r="E571" s="166" t="s">
        <v>884</v>
      </c>
      <c r="F571" s="164" t="s">
        <v>124</v>
      </c>
      <c r="G571" s="167">
        <f>G572</f>
        <v>26.764999999999997</v>
      </c>
      <c r="H571" s="367"/>
      <c r="I571" s="168">
        <f>ROUND(G571*H571,2)</f>
        <v>0</v>
      </c>
      <c r="J571" s="169">
        <v>0.00019</v>
      </c>
      <c r="K571" s="167">
        <f>G571*J571</f>
        <v>0.00508535</v>
      </c>
      <c r="L571" s="169">
        <v>0</v>
      </c>
      <c r="M571" s="167">
        <f>G571*L571</f>
        <v>0</v>
      </c>
      <c r="N571" s="170">
        <v>15</v>
      </c>
      <c r="O571" s="171">
        <v>16</v>
      </c>
      <c r="P571" s="14" t="s">
        <v>115</v>
      </c>
    </row>
    <row r="572" spans="4:19" s="14" customFormat="1" ht="15.75" customHeight="1" hidden="1" outlineLevel="1">
      <c r="D572" s="172"/>
      <c r="E572" s="173" t="s">
        <v>1461</v>
      </c>
      <c r="G572" s="174">
        <f>(5.3*3.9+(2.3*5.3)/2)</f>
        <v>26.764999999999997</v>
      </c>
      <c r="P572" s="172" t="s">
        <v>115</v>
      </c>
      <c r="Q572" s="172" t="s">
        <v>115</v>
      </c>
      <c r="R572" s="172" t="s">
        <v>116</v>
      </c>
      <c r="S572" s="172" t="s">
        <v>109</v>
      </c>
    </row>
    <row r="573" spans="1:16" s="14" customFormat="1" ht="24" customHeight="1" collapsed="1">
      <c r="A573" s="164" t="s">
        <v>885</v>
      </c>
      <c r="B573" s="164" t="s">
        <v>110</v>
      </c>
      <c r="C573" s="164" t="s">
        <v>880</v>
      </c>
      <c r="D573" s="165" t="s">
        <v>886</v>
      </c>
      <c r="E573" s="166" t="s">
        <v>887</v>
      </c>
      <c r="F573" s="164" t="s">
        <v>124</v>
      </c>
      <c r="G573" s="167">
        <f>G574</f>
        <v>7.47612</v>
      </c>
      <c r="H573" s="367"/>
      <c r="I573" s="168">
        <f>ROUND(G573*H573,2)</f>
        <v>0</v>
      </c>
      <c r="J573" s="169">
        <v>0.00038</v>
      </c>
      <c r="K573" s="167">
        <f>G573*J573</f>
        <v>0.0028409256</v>
      </c>
      <c r="L573" s="169">
        <v>0</v>
      </c>
      <c r="M573" s="167">
        <f>G573*L573</f>
        <v>0</v>
      </c>
      <c r="N573" s="170">
        <v>15</v>
      </c>
      <c r="O573" s="171">
        <v>16</v>
      </c>
      <c r="P573" s="14" t="s">
        <v>115</v>
      </c>
    </row>
    <row r="574" spans="4:19" s="14" customFormat="1" ht="15.75" customHeight="1" hidden="1" outlineLevel="1">
      <c r="D574" s="172"/>
      <c r="E574" s="173" t="s">
        <v>1462</v>
      </c>
      <c r="G574" s="174">
        <f>18*(0.1772+0.26)*0.95</f>
        <v>7.47612</v>
      </c>
      <c r="P574" s="172" t="s">
        <v>115</v>
      </c>
      <c r="Q574" s="172" t="s">
        <v>115</v>
      </c>
      <c r="R574" s="172" t="s">
        <v>116</v>
      </c>
      <c r="S574" s="172" t="s">
        <v>106</v>
      </c>
    </row>
    <row r="575" spans="1:16" s="14" customFormat="1" ht="24" customHeight="1" collapsed="1">
      <c r="A575" s="164" t="s">
        <v>888</v>
      </c>
      <c r="B575" s="164" t="s">
        <v>110</v>
      </c>
      <c r="C575" s="164" t="s">
        <v>880</v>
      </c>
      <c r="D575" s="165" t="s">
        <v>889</v>
      </c>
      <c r="E575" s="166" t="s">
        <v>890</v>
      </c>
      <c r="F575" s="164" t="s">
        <v>124</v>
      </c>
      <c r="G575" s="167">
        <f>SUM(G576:G578)</f>
        <v>16.898</v>
      </c>
      <c r="H575" s="367"/>
      <c r="I575" s="168">
        <f>ROUND(G575*H575,2)</f>
        <v>0</v>
      </c>
      <c r="J575" s="169">
        <v>0.0005</v>
      </c>
      <c r="K575" s="167">
        <f>G575*J575</f>
        <v>0.008449</v>
      </c>
      <c r="L575" s="169">
        <v>0</v>
      </c>
      <c r="M575" s="167">
        <f>G575*L575</f>
        <v>0</v>
      </c>
      <c r="N575" s="170">
        <v>15</v>
      </c>
      <c r="O575" s="171">
        <v>16</v>
      </c>
      <c r="P575" s="14" t="s">
        <v>115</v>
      </c>
    </row>
    <row r="576" spans="4:19" s="14" customFormat="1" ht="15.75" customHeight="1" hidden="1" outlineLevel="1">
      <c r="D576" s="172"/>
      <c r="E576" s="173" t="s">
        <v>1399</v>
      </c>
      <c r="G576" s="174">
        <f>2.85*4*0.15*2</f>
        <v>3.42</v>
      </c>
      <c r="P576" s="172" t="s">
        <v>115</v>
      </c>
      <c r="Q576" s="172" t="s">
        <v>115</v>
      </c>
      <c r="R576" s="172" t="s">
        <v>116</v>
      </c>
      <c r="S576" s="172" t="s">
        <v>106</v>
      </c>
    </row>
    <row r="577" spans="4:19" s="14" customFormat="1" ht="15.75" customHeight="1" hidden="1" outlineLevel="1">
      <c r="D577" s="172"/>
      <c r="E577" s="173" t="s">
        <v>1397</v>
      </c>
      <c r="G577" s="174">
        <f>1.5*3*2*(0.1+0.13)</f>
        <v>2.0700000000000003</v>
      </c>
      <c r="P577" s="172" t="s">
        <v>115</v>
      </c>
      <c r="Q577" s="172" t="s">
        <v>115</v>
      </c>
      <c r="R577" s="172" t="s">
        <v>116</v>
      </c>
      <c r="S577" s="172" t="s">
        <v>106</v>
      </c>
    </row>
    <row r="578" spans="4:19" s="14" customFormat="1" ht="15.75" customHeight="1" hidden="1" outlineLevel="1">
      <c r="D578" s="172"/>
      <c r="E578" s="173" t="s">
        <v>1398</v>
      </c>
      <c r="G578" s="174">
        <f>3.1*2*4*2*(0.08+0.15)</f>
        <v>11.408</v>
      </c>
      <c r="P578" s="172" t="s">
        <v>115</v>
      </c>
      <c r="Q578" s="172" t="s">
        <v>115</v>
      </c>
      <c r="R578" s="172" t="s">
        <v>116</v>
      </c>
      <c r="S578" s="172" t="s">
        <v>106</v>
      </c>
    </row>
    <row r="579" spans="1:16" s="14" customFormat="1" ht="24" customHeight="1" collapsed="1">
      <c r="A579" s="164" t="s">
        <v>891</v>
      </c>
      <c r="B579" s="164" t="s">
        <v>110</v>
      </c>
      <c r="C579" s="164" t="s">
        <v>880</v>
      </c>
      <c r="D579" s="165" t="s">
        <v>892</v>
      </c>
      <c r="E579" s="166" t="s">
        <v>893</v>
      </c>
      <c r="F579" s="164" t="s">
        <v>124</v>
      </c>
      <c r="G579" s="167">
        <f>SUM(G580:G588)</f>
        <v>320.9715</v>
      </c>
      <c r="H579" s="367"/>
      <c r="I579" s="168">
        <f>ROUND(G579*H579,2)</f>
        <v>0</v>
      </c>
      <c r="J579" s="169">
        <v>3E-05</v>
      </c>
      <c r="K579" s="167">
        <f>G579*J579</f>
        <v>0.009629145</v>
      </c>
      <c r="L579" s="169">
        <v>0</v>
      </c>
      <c r="M579" s="167">
        <f>G579*L579</f>
        <v>0</v>
      </c>
      <c r="N579" s="170">
        <v>15</v>
      </c>
      <c r="O579" s="171">
        <v>16</v>
      </c>
      <c r="P579" s="14" t="s">
        <v>115</v>
      </c>
    </row>
    <row r="580" spans="4:19" s="14" customFormat="1" ht="15.75" customHeight="1" hidden="1" outlineLevel="1">
      <c r="D580" s="172"/>
      <c r="E580" s="173" t="s">
        <v>1452</v>
      </c>
      <c r="G580" s="174">
        <f>2.85*4*(0.15+0.15)*2/2</f>
        <v>3.42</v>
      </c>
      <c r="P580" s="172" t="s">
        <v>115</v>
      </c>
      <c r="Q580" s="172" t="s">
        <v>115</v>
      </c>
      <c r="R580" s="172" t="s">
        <v>116</v>
      </c>
      <c r="S580" s="172" t="s">
        <v>106</v>
      </c>
    </row>
    <row r="581" spans="4:19" s="14" customFormat="1" ht="15.75" customHeight="1" hidden="1" outlineLevel="1">
      <c r="D581" s="172"/>
      <c r="E581" s="173" t="s">
        <v>1453</v>
      </c>
      <c r="G581" s="174">
        <f>1.5*3*2*(0.1+0.13)*2/2</f>
        <v>2.0700000000000003</v>
      </c>
      <c r="P581" s="172" t="s">
        <v>115</v>
      </c>
      <c r="Q581" s="172" t="s">
        <v>115</v>
      </c>
      <c r="R581" s="172" t="s">
        <v>116</v>
      </c>
      <c r="S581" s="172" t="s">
        <v>106</v>
      </c>
    </row>
    <row r="582" spans="4:19" s="14" customFormat="1" ht="15.75" customHeight="1" hidden="1" outlineLevel="1">
      <c r="D582" s="172"/>
      <c r="E582" s="173" t="s">
        <v>1454</v>
      </c>
      <c r="G582" s="174">
        <f>(3.1*2*4*2+1.9*19)*(0.08+0.15)*2/2</f>
        <v>19.711</v>
      </c>
      <c r="P582" s="172" t="s">
        <v>115</v>
      </c>
      <c r="Q582" s="172" t="s">
        <v>115</v>
      </c>
      <c r="R582" s="172" t="s">
        <v>116</v>
      </c>
      <c r="S582" s="172" t="s">
        <v>106</v>
      </c>
    </row>
    <row r="583" spans="4:19" s="14" customFormat="1" ht="15.75" customHeight="1" hidden="1" outlineLevel="1">
      <c r="D583" s="172"/>
      <c r="E583" s="173" t="s">
        <v>1455</v>
      </c>
      <c r="G583" s="174">
        <f>(10.6*7*2+2*4+9*21+2.65*2+2.5*2+2*8+3*4)*(0.12+0.18)*2/2</f>
        <v>115.10999999999999</v>
      </c>
      <c r="P583" s="172" t="s">
        <v>115</v>
      </c>
      <c r="Q583" s="172" t="s">
        <v>115</v>
      </c>
      <c r="R583" s="172" t="s">
        <v>116</v>
      </c>
      <c r="S583" s="172" t="s">
        <v>106</v>
      </c>
    </row>
    <row r="584" spans="4:19" s="14" customFormat="1" ht="15.75" customHeight="1" hidden="1" outlineLevel="1">
      <c r="D584" s="172"/>
      <c r="E584" s="173" t="s">
        <v>1456</v>
      </c>
      <c r="G584" s="174">
        <f>(3.8+3.3+2.8+3.6)*(0.15+0.12)*2/2</f>
        <v>3.6449999999999996</v>
      </c>
      <c r="P584" s="172" t="s">
        <v>115</v>
      </c>
      <c r="Q584" s="172" t="s">
        <v>115</v>
      </c>
      <c r="R584" s="172" t="s">
        <v>116</v>
      </c>
      <c r="S584" s="172" t="s">
        <v>106</v>
      </c>
    </row>
    <row r="585" spans="4:19" s="14" customFormat="1" ht="15.75" customHeight="1" hidden="1" outlineLevel="1">
      <c r="D585" s="172"/>
      <c r="E585" s="173" t="s">
        <v>1457</v>
      </c>
      <c r="G585" s="174">
        <f>6.5*2*(0.15+0.18)*2/2</f>
        <v>4.289999999999999</v>
      </c>
      <c r="P585" s="172" t="s">
        <v>115</v>
      </c>
      <c r="Q585" s="172" t="s">
        <v>115</v>
      </c>
      <c r="R585" s="172" t="s">
        <v>116</v>
      </c>
      <c r="S585" s="172" t="s">
        <v>106</v>
      </c>
    </row>
    <row r="586" spans="4:19" s="14" customFormat="1" ht="15.75" customHeight="1" hidden="1" outlineLevel="1">
      <c r="D586" s="172"/>
      <c r="E586" s="173" t="s">
        <v>1458</v>
      </c>
      <c r="G586" s="174">
        <f>(4.6+6.3+4.7)*(0.18+0.24)*2/2</f>
        <v>6.551999999999999</v>
      </c>
      <c r="P586" s="172" t="s">
        <v>115</v>
      </c>
      <c r="Q586" s="172" t="s">
        <v>115</v>
      </c>
      <c r="R586" s="172" t="s">
        <v>116</v>
      </c>
      <c r="S586" s="172" t="s">
        <v>106</v>
      </c>
    </row>
    <row r="587" spans="4:19" s="14" customFormat="1" ht="15.75" customHeight="1" hidden="1" outlineLevel="1">
      <c r="D587" s="172"/>
      <c r="E587" s="173" t="s">
        <v>1459</v>
      </c>
      <c r="G587" s="174">
        <f>66.469/2</f>
        <v>33.2345</v>
      </c>
      <c r="P587" s="172" t="s">
        <v>115</v>
      </c>
      <c r="Q587" s="172" t="s">
        <v>115</v>
      </c>
      <c r="R587" s="172" t="s">
        <v>116</v>
      </c>
      <c r="S587" s="172" t="s">
        <v>106</v>
      </c>
    </row>
    <row r="588" spans="4:19" s="14" customFormat="1" ht="15.75" customHeight="1" hidden="1" outlineLevel="1">
      <c r="D588" s="172"/>
      <c r="E588" s="173" t="s">
        <v>1460</v>
      </c>
      <c r="G588" s="174">
        <f>265.878/2</f>
        <v>132.939</v>
      </c>
      <c r="P588" s="172" t="s">
        <v>115</v>
      </c>
      <c r="Q588" s="172" t="s">
        <v>115</v>
      </c>
      <c r="R588" s="172" t="s">
        <v>116</v>
      </c>
      <c r="S588" s="172" t="s">
        <v>106</v>
      </c>
    </row>
    <row r="589" spans="1:16" s="14" customFormat="1" ht="13.5" customHeight="1" collapsed="1">
      <c r="A589" s="164" t="s">
        <v>894</v>
      </c>
      <c r="B589" s="164" t="s">
        <v>110</v>
      </c>
      <c r="C589" s="164" t="s">
        <v>880</v>
      </c>
      <c r="D589" s="165" t="s">
        <v>895</v>
      </c>
      <c r="E589" s="166" t="s">
        <v>896</v>
      </c>
      <c r="F589" s="164" t="s">
        <v>124</v>
      </c>
      <c r="G589" s="167">
        <f>G590</f>
        <v>26.764999999999997</v>
      </c>
      <c r="H589" s="367"/>
      <c r="I589" s="168">
        <f>ROUND(G589*H589,2)</f>
        <v>0</v>
      </c>
      <c r="J589" s="169">
        <v>0</v>
      </c>
      <c r="K589" s="167">
        <f>G589*J589</f>
        <v>0</v>
      </c>
      <c r="L589" s="169">
        <v>0</v>
      </c>
      <c r="M589" s="167">
        <f>G589*L589</f>
        <v>0</v>
      </c>
      <c r="N589" s="170">
        <v>15</v>
      </c>
      <c r="O589" s="171">
        <v>16</v>
      </c>
      <c r="P589" s="14" t="s">
        <v>115</v>
      </c>
    </row>
    <row r="590" spans="4:19" s="14" customFormat="1" ht="15.75" customHeight="1" hidden="1" outlineLevel="1">
      <c r="D590" s="172"/>
      <c r="E590" s="173" t="s">
        <v>1461</v>
      </c>
      <c r="G590" s="174">
        <f>(5.3*3.9+(2.3*5.3)/2)</f>
        <v>26.764999999999997</v>
      </c>
      <c r="P590" s="172" t="s">
        <v>115</v>
      </c>
      <c r="Q590" s="172" t="s">
        <v>115</v>
      </c>
      <c r="R590" s="172" t="s">
        <v>116</v>
      </c>
      <c r="S590" s="172" t="s">
        <v>106</v>
      </c>
    </row>
    <row r="591" spans="2:16" s="133" customFormat="1" ht="12.75" customHeight="1">
      <c r="B591" s="138" t="s">
        <v>63</v>
      </c>
      <c r="D591" s="139" t="s">
        <v>897</v>
      </c>
      <c r="E591" s="139" t="s">
        <v>898</v>
      </c>
      <c r="I591" s="140">
        <f>SUM(I592:I617)</f>
        <v>0</v>
      </c>
      <c r="K591" s="141">
        <f>SUM(K592:K617)</f>
        <v>0.24633923999999993</v>
      </c>
      <c r="M591" s="141">
        <f>SUM(M592:M617)</f>
        <v>0</v>
      </c>
      <c r="P591" s="139" t="s">
        <v>109</v>
      </c>
    </row>
    <row r="592" spans="1:16" s="14" customFormat="1" ht="24" customHeight="1" collapsed="1">
      <c r="A592" s="164" t="s">
        <v>899</v>
      </c>
      <c r="B592" s="164" t="s">
        <v>110</v>
      </c>
      <c r="C592" s="164" t="s">
        <v>897</v>
      </c>
      <c r="D592" s="165" t="s">
        <v>900</v>
      </c>
      <c r="E592" s="166" t="s">
        <v>901</v>
      </c>
      <c r="F592" s="164" t="s">
        <v>124</v>
      </c>
      <c r="G592" s="167">
        <f>SUM(G593:G617)</f>
        <v>586.5219999999998</v>
      </c>
      <c r="H592" s="367"/>
      <c r="I592" s="168">
        <f>ROUND(G592*H592,2)</f>
        <v>0</v>
      </c>
      <c r="J592" s="169">
        <v>0.00042</v>
      </c>
      <c r="K592" s="167">
        <f>G592*J592</f>
        <v>0.24633923999999993</v>
      </c>
      <c r="L592" s="169">
        <v>0</v>
      </c>
      <c r="M592" s="167">
        <f>G592*L592</f>
        <v>0</v>
      </c>
      <c r="N592" s="170">
        <v>15</v>
      </c>
      <c r="O592" s="171">
        <v>16</v>
      </c>
      <c r="P592" s="14" t="s">
        <v>115</v>
      </c>
    </row>
    <row r="593" spans="4:19" s="14" customFormat="1" ht="15.75" customHeight="1" hidden="1" outlineLevel="1">
      <c r="D593" s="172"/>
      <c r="E593" s="173" t="s">
        <v>903</v>
      </c>
      <c r="G593" s="174">
        <v>25.763</v>
      </c>
      <c r="H593" s="270"/>
      <c r="P593" s="172" t="s">
        <v>115</v>
      </c>
      <c r="Q593" s="172" t="s">
        <v>115</v>
      </c>
      <c r="R593" s="172" t="s">
        <v>116</v>
      </c>
      <c r="S593" s="172" t="s">
        <v>106</v>
      </c>
    </row>
    <row r="594" spans="4:19" s="14" customFormat="1" ht="15.75" customHeight="1" hidden="1" outlineLevel="1">
      <c r="D594" s="172"/>
      <c r="E594" s="173" t="s">
        <v>904</v>
      </c>
      <c r="G594" s="174">
        <v>52.17</v>
      </c>
      <c r="P594" s="172" t="s">
        <v>115</v>
      </c>
      <c r="Q594" s="172" t="s">
        <v>115</v>
      </c>
      <c r="R594" s="172" t="s">
        <v>116</v>
      </c>
      <c r="S594" s="172" t="s">
        <v>106</v>
      </c>
    </row>
    <row r="595" spans="4:19" s="14" customFormat="1" ht="15.75" customHeight="1" hidden="1" outlineLevel="1">
      <c r="D595" s="172"/>
      <c r="E595" s="173" t="s">
        <v>905</v>
      </c>
      <c r="G595" s="174">
        <v>46.775</v>
      </c>
      <c r="P595" s="172" t="s">
        <v>115</v>
      </c>
      <c r="Q595" s="172" t="s">
        <v>115</v>
      </c>
      <c r="R595" s="172" t="s">
        <v>116</v>
      </c>
      <c r="S595" s="172" t="s">
        <v>106</v>
      </c>
    </row>
    <row r="596" spans="4:19" s="14" customFormat="1" ht="15.75" customHeight="1" hidden="1" outlineLevel="1">
      <c r="D596" s="172"/>
      <c r="E596" s="173" t="s">
        <v>906</v>
      </c>
      <c r="G596" s="174">
        <v>31.995</v>
      </c>
      <c r="P596" s="172" t="s">
        <v>115</v>
      </c>
      <c r="Q596" s="172" t="s">
        <v>115</v>
      </c>
      <c r="R596" s="172" t="s">
        <v>116</v>
      </c>
      <c r="S596" s="172" t="s">
        <v>106</v>
      </c>
    </row>
    <row r="597" spans="4:19" s="14" customFormat="1" ht="15.75" customHeight="1" hidden="1" outlineLevel="1">
      <c r="D597" s="172"/>
      <c r="E597" s="173" t="s">
        <v>907</v>
      </c>
      <c r="G597" s="174">
        <v>6.892</v>
      </c>
      <c r="P597" s="172" t="s">
        <v>115</v>
      </c>
      <c r="Q597" s="172" t="s">
        <v>115</v>
      </c>
      <c r="R597" s="172" t="s">
        <v>116</v>
      </c>
      <c r="S597" s="172" t="s">
        <v>106</v>
      </c>
    </row>
    <row r="598" spans="4:19" s="14" customFormat="1" ht="15.75" customHeight="1" hidden="1" outlineLevel="1">
      <c r="D598" s="172"/>
      <c r="E598" s="173" t="s">
        <v>908</v>
      </c>
      <c r="G598" s="174">
        <v>6.72</v>
      </c>
      <c r="P598" s="172" t="s">
        <v>115</v>
      </c>
      <c r="Q598" s="172" t="s">
        <v>115</v>
      </c>
      <c r="R598" s="172" t="s">
        <v>116</v>
      </c>
      <c r="S598" s="172" t="s">
        <v>106</v>
      </c>
    </row>
    <row r="599" spans="4:19" s="14" customFormat="1" ht="15.75" customHeight="1" hidden="1" outlineLevel="1">
      <c r="D599" s="172"/>
      <c r="E599" s="173" t="s">
        <v>909</v>
      </c>
      <c r="G599" s="174">
        <v>64.043</v>
      </c>
      <c r="P599" s="172" t="s">
        <v>115</v>
      </c>
      <c r="Q599" s="172" t="s">
        <v>115</v>
      </c>
      <c r="R599" s="172" t="s">
        <v>116</v>
      </c>
      <c r="S599" s="172" t="s">
        <v>106</v>
      </c>
    </row>
    <row r="600" spans="4:19" s="14" customFormat="1" ht="15.75" customHeight="1" hidden="1" outlineLevel="1">
      <c r="D600" s="172"/>
      <c r="E600" s="173" t="s">
        <v>910</v>
      </c>
      <c r="G600" s="174">
        <v>22.466</v>
      </c>
      <c r="P600" s="172" t="s">
        <v>115</v>
      </c>
      <c r="Q600" s="172" t="s">
        <v>115</v>
      </c>
      <c r="R600" s="172" t="s">
        <v>116</v>
      </c>
      <c r="S600" s="172" t="s">
        <v>106</v>
      </c>
    </row>
    <row r="601" spans="4:19" s="14" customFormat="1" ht="15.75" customHeight="1" hidden="1" outlineLevel="1">
      <c r="D601" s="172"/>
      <c r="E601" s="173" t="s">
        <v>902</v>
      </c>
      <c r="G601" s="174">
        <v>40.824</v>
      </c>
      <c r="P601" s="172" t="s">
        <v>115</v>
      </c>
      <c r="Q601" s="172" t="s">
        <v>115</v>
      </c>
      <c r="R601" s="172" t="s">
        <v>116</v>
      </c>
      <c r="S601" s="172" t="s">
        <v>106</v>
      </c>
    </row>
    <row r="602" spans="4:19" s="14" customFormat="1" ht="15.75" customHeight="1" hidden="1" outlineLevel="1">
      <c r="D602" s="172"/>
      <c r="E602" s="173" t="s">
        <v>911</v>
      </c>
      <c r="G602" s="174">
        <v>72.963</v>
      </c>
      <c r="P602" s="172" t="s">
        <v>115</v>
      </c>
      <c r="Q602" s="172" t="s">
        <v>115</v>
      </c>
      <c r="R602" s="172" t="s">
        <v>116</v>
      </c>
      <c r="S602" s="172" t="s">
        <v>106</v>
      </c>
    </row>
    <row r="603" spans="4:19" s="14" customFormat="1" ht="15.75" customHeight="1" hidden="1" outlineLevel="1">
      <c r="D603" s="172"/>
      <c r="E603" s="173" t="s">
        <v>912</v>
      </c>
      <c r="G603" s="174">
        <v>27.735</v>
      </c>
      <c r="P603" s="172" t="s">
        <v>115</v>
      </c>
      <c r="Q603" s="172" t="s">
        <v>115</v>
      </c>
      <c r="R603" s="172" t="s">
        <v>116</v>
      </c>
      <c r="S603" s="172" t="s">
        <v>106</v>
      </c>
    </row>
    <row r="604" spans="4:19" s="14" customFormat="1" ht="15.75" customHeight="1" hidden="1" outlineLevel="1">
      <c r="D604" s="172"/>
      <c r="E604" s="173" t="s">
        <v>913</v>
      </c>
      <c r="G604" s="174">
        <v>24.833</v>
      </c>
      <c r="P604" s="172" t="s">
        <v>115</v>
      </c>
      <c r="Q604" s="172" t="s">
        <v>115</v>
      </c>
      <c r="R604" s="172" t="s">
        <v>116</v>
      </c>
      <c r="S604" s="172" t="s">
        <v>106</v>
      </c>
    </row>
    <row r="605" spans="4:19" s="14" customFormat="1" ht="15.75" customHeight="1" hidden="1" outlineLevel="1">
      <c r="D605" s="172"/>
      <c r="E605" s="173" t="s">
        <v>914</v>
      </c>
      <c r="G605" s="174">
        <v>2.727</v>
      </c>
      <c r="P605" s="172" t="s">
        <v>115</v>
      </c>
      <c r="Q605" s="172" t="s">
        <v>115</v>
      </c>
      <c r="R605" s="172" t="s">
        <v>116</v>
      </c>
      <c r="S605" s="172" t="s">
        <v>106</v>
      </c>
    </row>
    <row r="606" spans="4:19" s="14" customFormat="1" ht="15.75" customHeight="1" hidden="1" outlineLevel="1">
      <c r="D606" s="172"/>
      <c r="E606" s="173" t="s">
        <v>915</v>
      </c>
      <c r="G606" s="174">
        <v>8.445</v>
      </c>
      <c r="P606" s="172" t="s">
        <v>115</v>
      </c>
      <c r="Q606" s="172" t="s">
        <v>115</v>
      </c>
      <c r="R606" s="172" t="s">
        <v>116</v>
      </c>
      <c r="S606" s="172" t="s">
        <v>106</v>
      </c>
    </row>
    <row r="607" spans="4:19" s="14" customFormat="1" ht="15.75" customHeight="1" hidden="1" outlineLevel="1">
      <c r="D607" s="172"/>
      <c r="E607" s="173" t="s">
        <v>916</v>
      </c>
      <c r="G607" s="174"/>
      <c r="P607" s="172" t="s">
        <v>115</v>
      </c>
      <c r="Q607" s="172" t="s">
        <v>109</v>
      </c>
      <c r="R607" s="172" t="s">
        <v>116</v>
      </c>
      <c r="S607" s="172" t="s">
        <v>106</v>
      </c>
    </row>
    <row r="608" spans="4:19" s="14" customFormat="1" ht="15.75" customHeight="1" hidden="1" outlineLevel="1">
      <c r="D608" s="172"/>
      <c r="E608" s="173" t="s">
        <v>1463</v>
      </c>
      <c r="G608" s="174">
        <f>7.53+26.07+18.64+8.85+2.5</f>
        <v>63.59</v>
      </c>
      <c r="P608" s="172" t="s">
        <v>115</v>
      </c>
      <c r="Q608" s="172" t="s">
        <v>115</v>
      </c>
      <c r="R608" s="172" t="s">
        <v>116</v>
      </c>
      <c r="S608" s="172" t="s">
        <v>106</v>
      </c>
    </row>
    <row r="609" spans="4:19" s="14" customFormat="1" ht="15.75" customHeight="1" hidden="1" outlineLevel="1">
      <c r="D609" s="172"/>
      <c r="E609" s="173" t="s">
        <v>1430</v>
      </c>
      <c r="G609" s="174">
        <v>13.02</v>
      </c>
      <c r="P609" s="172" t="s">
        <v>115</v>
      </c>
      <c r="Q609" s="172" t="s">
        <v>115</v>
      </c>
      <c r="R609" s="172" t="s">
        <v>116</v>
      </c>
      <c r="S609" s="172" t="s">
        <v>106</v>
      </c>
    </row>
    <row r="610" spans="4:19" s="14" customFormat="1" ht="15.75" customHeight="1" hidden="1" outlineLevel="1">
      <c r="D610" s="172"/>
      <c r="E610" s="173" t="s">
        <v>1431</v>
      </c>
      <c r="G610" s="174">
        <f>1.18+3.81</f>
        <v>4.99</v>
      </c>
      <c r="P610" s="172" t="s">
        <v>115</v>
      </c>
      <c r="Q610" s="172" t="s">
        <v>115</v>
      </c>
      <c r="R610" s="172" t="s">
        <v>116</v>
      </c>
      <c r="S610" s="172" t="s">
        <v>106</v>
      </c>
    </row>
    <row r="611" spans="4:19" s="14" customFormat="1" ht="15.75" customHeight="1" hidden="1" outlineLevel="1">
      <c r="D611" s="172"/>
      <c r="E611" s="173" t="s">
        <v>1432</v>
      </c>
      <c r="G611" s="174">
        <v>2.18</v>
      </c>
      <c r="P611" s="172" t="s">
        <v>115</v>
      </c>
      <c r="Q611" s="172" t="s">
        <v>115</v>
      </c>
      <c r="R611" s="172" t="s">
        <v>116</v>
      </c>
      <c r="S611" s="172" t="s">
        <v>106</v>
      </c>
    </row>
    <row r="612" spans="4:19" s="14" customFormat="1" ht="15.75" customHeight="1" hidden="1" outlineLevel="1">
      <c r="D612" s="172"/>
      <c r="E612" s="173" t="s">
        <v>917</v>
      </c>
      <c r="G612" s="174"/>
      <c r="P612" s="172" t="s">
        <v>115</v>
      </c>
      <c r="Q612" s="172" t="s">
        <v>109</v>
      </c>
      <c r="R612" s="172" t="s">
        <v>116</v>
      </c>
      <c r="S612" s="172" t="s">
        <v>106</v>
      </c>
    </row>
    <row r="613" spans="4:19" s="14" customFormat="1" ht="15.75" customHeight="1" hidden="1" outlineLevel="1">
      <c r="D613" s="172"/>
      <c r="E613" s="173" t="s">
        <v>633</v>
      </c>
      <c r="G613" s="174">
        <v>5.643</v>
      </c>
      <c r="P613" s="172" t="s">
        <v>115</v>
      </c>
      <c r="Q613" s="172" t="s">
        <v>115</v>
      </c>
      <c r="R613" s="172" t="s">
        <v>116</v>
      </c>
      <c r="S613" s="172" t="s">
        <v>106</v>
      </c>
    </row>
    <row r="614" spans="4:19" s="14" customFormat="1" ht="15.75" customHeight="1" hidden="1" outlineLevel="1">
      <c r="D614" s="172"/>
      <c r="E614" s="173" t="s">
        <v>634</v>
      </c>
      <c r="G614" s="174">
        <v>26.399</v>
      </c>
      <c r="P614" s="172" t="s">
        <v>115</v>
      </c>
      <c r="Q614" s="172" t="s">
        <v>115</v>
      </c>
      <c r="R614" s="172" t="s">
        <v>116</v>
      </c>
      <c r="S614" s="172" t="s">
        <v>106</v>
      </c>
    </row>
    <row r="615" spans="4:19" s="14" customFormat="1" ht="15.75" customHeight="1" hidden="1" outlineLevel="1">
      <c r="D615" s="172"/>
      <c r="E615" s="173" t="s">
        <v>635</v>
      </c>
      <c r="G615" s="174">
        <v>12.093</v>
      </c>
      <c r="P615" s="172" t="s">
        <v>115</v>
      </c>
      <c r="Q615" s="172" t="s">
        <v>115</v>
      </c>
      <c r="R615" s="172" t="s">
        <v>116</v>
      </c>
      <c r="S615" s="172" t="s">
        <v>106</v>
      </c>
    </row>
    <row r="616" spans="4:19" s="14" customFormat="1" ht="15.75" customHeight="1" hidden="1" outlineLevel="1">
      <c r="D616" s="172"/>
      <c r="E616" s="173" t="s">
        <v>636</v>
      </c>
      <c r="G616" s="174">
        <v>12.423</v>
      </c>
      <c r="P616" s="172" t="s">
        <v>115</v>
      </c>
      <c r="Q616" s="172" t="s">
        <v>115</v>
      </c>
      <c r="R616" s="172" t="s">
        <v>116</v>
      </c>
      <c r="S616" s="172" t="s">
        <v>106</v>
      </c>
    </row>
    <row r="617" spans="4:19" s="14" customFormat="1" ht="15.75" customHeight="1" hidden="1" outlineLevel="1">
      <c r="D617" s="172"/>
      <c r="E617" s="173" t="s">
        <v>640</v>
      </c>
      <c r="G617" s="174">
        <v>11.833</v>
      </c>
      <c r="P617" s="172" t="s">
        <v>115</v>
      </c>
      <c r="Q617" s="172" t="s">
        <v>115</v>
      </c>
      <c r="R617" s="172" t="s">
        <v>116</v>
      </c>
      <c r="S617" s="172" t="s">
        <v>106</v>
      </c>
    </row>
    <row r="618" spans="2:16" s="133" customFormat="1" ht="12.75" customHeight="1">
      <c r="B618" s="134" t="s">
        <v>63</v>
      </c>
      <c r="D618" s="135" t="s">
        <v>146</v>
      </c>
      <c r="E618" s="135" t="s">
        <v>55</v>
      </c>
      <c r="I618" s="136">
        <f>I619</f>
        <v>0</v>
      </c>
      <c r="K618" s="137">
        <f>K619</f>
        <v>0</v>
      </c>
      <c r="M618" s="137">
        <f>M619</f>
        <v>0</v>
      </c>
      <c r="P618" s="135" t="s">
        <v>106</v>
      </c>
    </row>
    <row r="619" spans="2:16" s="133" customFormat="1" ht="12.75" customHeight="1">
      <c r="B619" s="138" t="s">
        <v>63</v>
      </c>
      <c r="D619" s="139" t="s">
        <v>918</v>
      </c>
      <c r="E619" s="139" t="s">
        <v>919</v>
      </c>
      <c r="I619" s="140">
        <f>SUM(I620:I625)</f>
        <v>0</v>
      </c>
      <c r="K619" s="141">
        <f>SUM(K620:K625)</f>
        <v>0</v>
      </c>
      <c r="M619" s="141">
        <f>SUM(M620:M625)</f>
        <v>0</v>
      </c>
      <c r="P619" s="139" t="s">
        <v>109</v>
      </c>
    </row>
    <row r="620" spans="1:16" s="14" customFormat="1" ht="13.5" customHeight="1">
      <c r="A620" s="164" t="s">
        <v>920</v>
      </c>
      <c r="B620" s="164" t="s">
        <v>110</v>
      </c>
      <c r="C620" s="164" t="s">
        <v>921</v>
      </c>
      <c r="D620" s="165" t="s">
        <v>922</v>
      </c>
      <c r="E620" s="166" t="s">
        <v>923</v>
      </c>
      <c r="F620" s="164" t="s">
        <v>167</v>
      </c>
      <c r="G620" s="167">
        <v>1</v>
      </c>
      <c r="H620" s="367"/>
      <c r="I620" s="168">
        <f aca="true" t="shared" si="9" ref="I620:I625">ROUND(G620*H620,2)</f>
        <v>0</v>
      </c>
      <c r="J620" s="169">
        <v>0</v>
      </c>
      <c r="K620" s="167">
        <f aca="true" t="shared" si="10" ref="K620:K625">G620*J620</f>
        <v>0</v>
      </c>
      <c r="L620" s="169">
        <v>0</v>
      </c>
      <c r="M620" s="167">
        <f aca="true" t="shared" si="11" ref="M620:M625">G620*L620</f>
        <v>0</v>
      </c>
      <c r="N620" s="170">
        <v>15</v>
      </c>
      <c r="O620" s="171">
        <v>64</v>
      </c>
      <c r="P620" s="14" t="s">
        <v>115</v>
      </c>
    </row>
    <row r="621" spans="1:16" s="14" customFormat="1" ht="13.5" customHeight="1">
      <c r="A621" s="164" t="s">
        <v>924</v>
      </c>
      <c r="B621" s="164" t="s">
        <v>110</v>
      </c>
      <c r="C621" s="164" t="s">
        <v>925</v>
      </c>
      <c r="D621" s="165" t="s">
        <v>926</v>
      </c>
      <c r="E621" s="276" t="s">
        <v>1491</v>
      </c>
      <c r="F621" s="164" t="s">
        <v>167</v>
      </c>
      <c r="G621" s="167">
        <v>1</v>
      </c>
      <c r="H621" s="367"/>
      <c r="I621" s="168">
        <f t="shared" si="9"/>
        <v>0</v>
      </c>
      <c r="J621" s="169">
        <v>0</v>
      </c>
      <c r="K621" s="167">
        <f t="shared" si="10"/>
        <v>0</v>
      </c>
      <c r="L621" s="169">
        <v>0</v>
      </c>
      <c r="M621" s="167">
        <f t="shared" si="11"/>
        <v>0</v>
      </c>
      <c r="N621" s="170">
        <v>15</v>
      </c>
      <c r="O621" s="171">
        <v>64</v>
      </c>
      <c r="P621" s="14" t="s">
        <v>115</v>
      </c>
    </row>
    <row r="622" spans="1:16" s="14" customFormat="1" ht="13.5" customHeight="1">
      <c r="A622" s="164" t="s">
        <v>927</v>
      </c>
      <c r="B622" s="164" t="s">
        <v>110</v>
      </c>
      <c r="C622" s="164" t="s">
        <v>925</v>
      </c>
      <c r="D622" s="165" t="s">
        <v>928</v>
      </c>
      <c r="E622" s="166" t="s">
        <v>929</v>
      </c>
      <c r="F622" s="164" t="s">
        <v>167</v>
      </c>
      <c r="G622" s="167">
        <v>1</v>
      </c>
      <c r="H622" s="367"/>
      <c r="I622" s="168">
        <f t="shared" si="9"/>
        <v>0</v>
      </c>
      <c r="J622" s="169">
        <v>0</v>
      </c>
      <c r="K622" s="167">
        <f t="shared" si="10"/>
        <v>0</v>
      </c>
      <c r="L622" s="169">
        <v>0</v>
      </c>
      <c r="M622" s="167">
        <f t="shared" si="11"/>
        <v>0</v>
      </c>
      <c r="N622" s="170">
        <v>15</v>
      </c>
      <c r="O622" s="171">
        <v>64</v>
      </c>
      <c r="P622" s="14" t="s">
        <v>115</v>
      </c>
    </row>
    <row r="623" spans="1:16" s="14" customFormat="1" ht="13.5" customHeight="1">
      <c r="A623" s="164" t="s">
        <v>930</v>
      </c>
      <c r="B623" s="164" t="s">
        <v>110</v>
      </c>
      <c r="C623" s="164" t="s">
        <v>345</v>
      </c>
      <c r="D623" s="165" t="s">
        <v>931</v>
      </c>
      <c r="E623" s="166" t="s">
        <v>932</v>
      </c>
      <c r="F623" s="164" t="s">
        <v>167</v>
      </c>
      <c r="G623" s="167">
        <v>1</v>
      </c>
      <c r="H623" s="367"/>
      <c r="I623" s="168">
        <f t="shared" si="9"/>
        <v>0</v>
      </c>
      <c r="J623" s="169">
        <v>0</v>
      </c>
      <c r="K623" s="167">
        <f t="shared" si="10"/>
        <v>0</v>
      </c>
      <c r="L623" s="169">
        <v>0</v>
      </c>
      <c r="M623" s="167">
        <f t="shared" si="11"/>
        <v>0</v>
      </c>
      <c r="N623" s="170">
        <v>15</v>
      </c>
      <c r="O623" s="171">
        <v>64</v>
      </c>
      <c r="P623" s="14" t="s">
        <v>115</v>
      </c>
    </row>
    <row r="624" spans="1:15" s="14" customFormat="1" ht="13.5" customHeight="1">
      <c r="A624" s="164">
        <v>236</v>
      </c>
      <c r="B624" s="164" t="s">
        <v>110</v>
      </c>
      <c r="C624" s="164" t="s">
        <v>345</v>
      </c>
      <c r="D624" s="165" t="s">
        <v>933</v>
      </c>
      <c r="E624" s="166" t="s">
        <v>1504</v>
      </c>
      <c r="F624" s="164" t="s">
        <v>167</v>
      </c>
      <c r="G624" s="271">
        <v>1</v>
      </c>
      <c r="H624" s="367"/>
      <c r="I624" s="168">
        <f t="shared" si="9"/>
        <v>0</v>
      </c>
      <c r="J624" s="169">
        <v>0</v>
      </c>
      <c r="K624" s="167">
        <f t="shared" si="10"/>
        <v>0</v>
      </c>
      <c r="L624" s="169">
        <v>0</v>
      </c>
      <c r="M624" s="167">
        <f t="shared" si="11"/>
        <v>0</v>
      </c>
      <c r="N624" s="170">
        <v>15</v>
      </c>
      <c r="O624" s="171"/>
    </row>
    <row r="625" spans="1:16" s="14" customFormat="1" ht="13.5" customHeight="1">
      <c r="A625" s="164">
        <v>237</v>
      </c>
      <c r="B625" s="164" t="s">
        <v>110</v>
      </c>
      <c r="C625" s="164" t="s">
        <v>345</v>
      </c>
      <c r="D625" s="165" t="s">
        <v>1505</v>
      </c>
      <c r="E625" s="166" t="s">
        <v>934</v>
      </c>
      <c r="F625" s="164" t="s">
        <v>167</v>
      </c>
      <c r="G625" s="167">
        <v>1</v>
      </c>
      <c r="H625" s="367"/>
      <c r="I625" s="168">
        <f t="shared" si="9"/>
        <v>0</v>
      </c>
      <c r="J625" s="169">
        <v>0</v>
      </c>
      <c r="K625" s="167">
        <f t="shared" si="10"/>
        <v>0</v>
      </c>
      <c r="L625" s="169">
        <v>0</v>
      </c>
      <c r="M625" s="167">
        <f t="shared" si="11"/>
        <v>0</v>
      </c>
      <c r="N625" s="170">
        <v>15</v>
      </c>
      <c r="O625" s="171">
        <v>64</v>
      </c>
      <c r="P625" s="14" t="s">
        <v>115</v>
      </c>
    </row>
    <row r="626" spans="5:13" s="146" customFormat="1" ht="12.75" customHeight="1">
      <c r="E626" s="147" t="s">
        <v>88</v>
      </c>
      <c r="I626" s="148">
        <f>I14+I266+I618</f>
        <v>0</v>
      </c>
      <c r="K626" s="149">
        <f>K14+K266+K618</f>
        <v>165.12662075570003</v>
      </c>
      <c r="M626" s="149">
        <f>M14+M266+M618</f>
        <v>227.94302824999997</v>
      </c>
    </row>
    <row r="629" ht="11.25" customHeight="1">
      <c r="I629" s="269"/>
    </row>
  </sheetData>
  <sheetProtection password="C0EE" sheet="1" objects="1" scenarios="1"/>
  <autoFilter ref="A14:N626"/>
  <printOptions horizontalCentered="1"/>
  <pageMargins left="0.5905511811023623" right="0.5905511811023623" top="0.7874015748031497" bottom="0.7874015748031497" header="0" footer="0"/>
  <pageSetup fitToHeight="999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PageLayoutView="0" workbookViewId="0" topLeftCell="A91">
      <selection activeCell="E108" sqref="E108"/>
    </sheetView>
  </sheetViews>
  <sheetFormatPr defaultColWidth="9.00390625" defaultRowHeight="12.75"/>
  <cols>
    <col min="1" max="1" width="8.28125" style="214" customWidth="1"/>
    <col min="2" max="2" width="58.57421875" style="214" customWidth="1"/>
    <col min="3" max="3" width="5.7109375" style="214" customWidth="1"/>
    <col min="4" max="4" width="8.28125" style="214" customWidth="1"/>
    <col min="5" max="5" width="10.421875" style="262" customWidth="1"/>
    <col min="6" max="6" width="12.00390625" style="262" customWidth="1"/>
    <col min="7" max="16384" width="9.00390625" style="214" customWidth="1"/>
  </cols>
  <sheetData>
    <row r="1" spans="1:6" s="2" customFormat="1" ht="18" customHeight="1">
      <c r="A1" s="234" t="s">
        <v>89</v>
      </c>
      <c r="B1" s="150"/>
      <c r="C1" s="150"/>
      <c r="D1" s="150"/>
      <c r="E1" s="248"/>
      <c r="F1" s="248"/>
    </row>
    <row r="2" spans="1:6" s="2" customFormat="1" ht="11.25" customHeight="1">
      <c r="A2" s="236" t="s">
        <v>76</v>
      </c>
      <c r="B2" s="118" t="str">
        <f>'Krycí list'!$E$5</f>
        <v>Podkrovní byty Dr. Zikmunda Wintra 432-8</v>
      </c>
      <c r="C2" s="118"/>
      <c r="D2" s="118"/>
      <c r="E2" s="249"/>
      <c r="F2" s="249"/>
    </row>
    <row r="3" spans="1:6" s="2" customFormat="1" ht="11.25" customHeight="1">
      <c r="A3" s="236" t="s">
        <v>77</v>
      </c>
      <c r="B3" s="118"/>
      <c r="C3" s="118" t="str">
        <f>'[2]Krycí list'!E7</f>
        <v> </v>
      </c>
      <c r="D3" s="118"/>
      <c r="E3" s="249"/>
      <c r="F3" s="249"/>
    </row>
    <row r="4" spans="1:6" s="2" customFormat="1" ht="11.25" customHeight="1">
      <c r="A4" s="236" t="s">
        <v>78</v>
      </c>
      <c r="B4" s="118"/>
      <c r="C4" s="118" t="str">
        <f>'[2]Krycí list'!E9</f>
        <v> </v>
      </c>
      <c r="D4" s="118"/>
      <c r="E4" s="249"/>
      <c r="F4" s="249"/>
    </row>
    <row r="5" spans="1:6" s="2" customFormat="1" ht="11.25" customHeight="1">
      <c r="A5" s="118" t="s">
        <v>90</v>
      </c>
      <c r="B5" s="118"/>
      <c r="C5" s="118" t="str">
        <f>'[2]Krycí list'!P5</f>
        <v> </v>
      </c>
      <c r="D5" s="118"/>
      <c r="E5" s="249"/>
      <c r="F5" s="249"/>
    </row>
    <row r="6" spans="1:6" s="2" customFormat="1" ht="6" customHeight="1">
      <c r="A6" s="118"/>
      <c r="B6" s="118"/>
      <c r="C6" s="118"/>
      <c r="D6" s="118"/>
      <c r="E6" s="249"/>
      <c r="F6" s="249"/>
    </row>
    <row r="7" spans="1:6" s="2" customFormat="1" ht="11.25" customHeight="1">
      <c r="A7" s="118" t="s">
        <v>80</v>
      </c>
      <c r="B7" s="118"/>
      <c r="C7" s="118" t="str">
        <f>'[2]Krycí list'!E26</f>
        <v> </v>
      </c>
      <c r="D7" s="118"/>
      <c r="E7" s="249"/>
      <c r="F7" s="249"/>
    </row>
    <row r="8" spans="1:6" s="2" customFormat="1" ht="11.25" customHeight="1">
      <c r="A8" s="118" t="s">
        <v>81</v>
      </c>
      <c r="B8" s="118"/>
      <c r="C8" s="118" t="str">
        <f>'[2]Krycí list'!E28</f>
        <v> </v>
      </c>
      <c r="D8" s="118"/>
      <c r="E8" s="249"/>
      <c r="F8" s="249"/>
    </row>
    <row r="9" spans="1:6" s="2" customFormat="1" ht="11.25" customHeight="1">
      <c r="A9" s="118" t="s">
        <v>82</v>
      </c>
      <c r="B9" s="247" t="str">
        <f>'Krycí list'!$O$31</f>
        <v>20.1.2015</v>
      </c>
      <c r="C9" s="118"/>
      <c r="D9" s="118"/>
      <c r="E9" s="249"/>
      <c r="F9" s="249"/>
    </row>
    <row r="10" spans="1:6" s="2" customFormat="1" ht="5.25" customHeight="1">
      <c r="A10" s="150"/>
      <c r="B10" s="150"/>
      <c r="C10" s="150"/>
      <c r="D10" s="150"/>
      <c r="E10" s="248"/>
      <c r="F10" s="248"/>
    </row>
    <row r="11" spans="1:6" s="2" customFormat="1" ht="21.75" customHeight="1">
      <c r="A11" s="122" t="s">
        <v>91</v>
      </c>
      <c r="B11" s="123" t="s">
        <v>84</v>
      </c>
      <c r="C11" s="123" t="s">
        <v>96</v>
      </c>
      <c r="D11" s="123" t="s">
        <v>95</v>
      </c>
      <c r="E11" s="250" t="s">
        <v>97</v>
      </c>
      <c r="F11" s="250" t="s">
        <v>85</v>
      </c>
    </row>
    <row r="12" spans="1:6" s="2" customFormat="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</row>
    <row r="15" spans="1:6" s="219" customFormat="1" ht="15.75">
      <c r="A15" s="217"/>
      <c r="B15" s="207" t="s">
        <v>1239</v>
      </c>
      <c r="C15" s="218"/>
      <c r="D15" s="209"/>
      <c r="E15" s="257"/>
      <c r="F15" s="258"/>
    </row>
    <row r="16" spans="1:6" s="219" customFormat="1" ht="12.75">
      <c r="A16" s="220"/>
      <c r="B16" s="212"/>
      <c r="C16" s="218"/>
      <c r="D16" s="209"/>
      <c r="E16" s="257"/>
      <c r="F16" s="258"/>
    </row>
    <row r="17" spans="1:6" s="219" customFormat="1" ht="12.75">
      <c r="A17" s="221" t="s">
        <v>1240</v>
      </c>
      <c r="B17" s="212" t="s">
        <v>1241</v>
      </c>
      <c r="C17" s="218">
        <v>1</v>
      </c>
      <c r="D17" s="209" t="s">
        <v>167</v>
      </c>
      <c r="E17" s="366"/>
      <c r="F17" s="258">
        <f>SUM(E17*C17)</f>
        <v>0</v>
      </c>
    </row>
    <row r="18" spans="1:6" s="219" customFormat="1" ht="12.75">
      <c r="A18" s="222"/>
      <c r="B18" s="223" t="s">
        <v>1242</v>
      </c>
      <c r="C18" s="218">
        <v>1</v>
      </c>
      <c r="D18" s="209" t="s">
        <v>1009</v>
      </c>
      <c r="E18" s="366"/>
      <c r="F18" s="258">
        <f>SUM(E18*C18)</f>
        <v>0</v>
      </c>
    </row>
    <row r="19" spans="1:6" s="219" customFormat="1" ht="12.75">
      <c r="A19" s="222"/>
      <c r="B19" s="212" t="s">
        <v>1243</v>
      </c>
      <c r="C19" s="218">
        <v>1</v>
      </c>
      <c r="D19" s="209" t="s">
        <v>167</v>
      </c>
      <c r="E19" s="366"/>
      <c r="F19" s="258">
        <f>SUM(E19*C19)</f>
        <v>0</v>
      </c>
    </row>
    <row r="20" spans="1:6" s="219" customFormat="1" ht="12.75">
      <c r="A20" s="222"/>
      <c r="B20" s="212"/>
      <c r="C20" s="218"/>
      <c r="D20" s="209"/>
      <c r="E20" s="257"/>
      <c r="F20" s="258"/>
    </row>
    <row r="21" spans="1:6" s="219" customFormat="1" ht="12.75">
      <c r="A21" s="222" t="s">
        <v>63</v>
      </c>
      <c r="B21" s="212" t="s">
        <v>1244</v>
      </c>
      <c r="C21" s="218">
        <v>1</v>
      </c>
      <c r="D21" s="209" t="s">
        <v>1009</v>
      </c>
      <c r="E21" s="366"/>
      <c r="F21" s="258">
        <f>SUM(E21*C21)</f>
        <v>0</v>
      </c>
    </row>
    <row r="22" spans="1:6" s="219" customFormat="1" ht="12.75">
      <c r="A22" s="224"/>
      <c r="B22" s="212" t="s">
        <v>1245</v>
      </c>
      <c r="C22" s="218">
        <v>1</v>
      </c>
      <c r="D22" s="209" t="s">
        <v>1009</v>
      </c>
      <c r="E22" s="366"/>
      <c r="F22" s="258">
        <f>SUM(E22*C22)</f>
        <v>0</v>
      </c>
    </row>
    <row r="23" spans="1:6" s="219" customFormat="1" ht="12.75">
      <c r="A23" s="222"/>
      <c r="B23" s="223" t="s">
        <v>1246</v>
      </c>
      <c r="C23" s="218">
        <v>1</v>
      </c>
      <c r="D23" s="209" t="s">
        <v>1009</v>
      </c>
      <c r="E23" s="366"/>
      <c r="F23" s="258">
        <f>SUM(E23*C23)</f>
        <v>0</v>
      </c>
    </row>
    <row r="24" spans="1:6" s="219" customFormat="1" ht="12.75">
      <c r="A24" s="222"/>
      <c r="B24" s="223"/>
      <c r="C24" s="218"/>
      <c r="D24" s="209"/>
      <c r="E24" s="257"/>
      <c r="F24" s="258"/>
    </row>
    <row r="25" spans="1:6" s="219" customFormat="1" ht="12.75">
      <c r="A25" s="225" t="s">
        <v>1247</v>
      </c>
      <c r="B25" s="212" t="s">
        <v>1248</v>
      </c>
      <c r="C25" s="226">
        <v>2</v>
      </c>
      <c r="D25" s="209" t="s">
        <v>1009</v>
      </c>
      <c r="E25" s="366"/>
      <c r="F25" s="258">
        <f>SUM(E25*C25)</f>
        <v>0</v>
      </c>
    </row>
    <row r="26" spans="1:6" s="219" customFormat="1" ht="12.75">
      <c r="A26" s="225"/>
      <c r="B26" s="212" t="s">
        <v>1249</v>
      </c>
      <c r="C26" s="226">
        <v>2</v>
      </c>
      <c r="D26" s="209" t="s">
        <v>1009</v>
      </c>
      <c r="E26" s="366"/>
      <c r="F26" s="258">
        <f>SUM(E26*C26)</f>
        <v>0</v>
      </c>
    </row>
    <row r="27" spans="1:6" s="219" customFormat="1" ht="12.75">
      <c r="A27" s="227"/>
      <c r="B27" s="212" t="s">
        <v>1250</v>
      </c>
      <c r="C27" s="226">
        <v>2</v>
      </c>
      <c r="D27" s="209" t="s">
        <v>167</v>
      </c>
      <c r="E27" s="366"/>
      <c r="F27" s="258">
        <f>SUM(E27*C27)</f>
        <v>0</v>
      </c>
    </row>
    <row r="28" spans="1:6" s="219" customFormat="1" ht="12.75">
      <c r="A28" s="227"/>
      <c r="B28" s="212"/>
      <c r="C28" s="226"/>
      <c r="D28" s="209"/>
      <c r="E28" s="257"/>
      <c r="F28" s="258"/>
    </row>
    <row r="29" spans="1:6" s="219" customFormat="1" ht="12.75">
      <c r="A29" s="222" t="s">
        <v>1251</v>
      </c>
      <c r="B29" s="227" t="s">
        <v>1252</v>
      </c>
      <c r="C29" s="218">
        <v>2</v>
      </c>
      <c r="D29" s="209" t="s">
        <v>1009</v>
      </c>
      <c r="E29" s="366"/>
      <c r="F29" s="258">
        <f>SUM(E29*C29)</f>
        <v>0</v>
      </c>
    </row>
    <row r="30" spans="1:6" s="219" customFormat="1" ht="12.75">
      <c r="A30" s="222"/>
      <c r="B30" s="223" t="s">
        <v>1253</v>
      </c>
      <c r="C30" s="228">
        <v>2</v>
      </c>
      <c r="D30" s="229" t="s">
        <v>167</v>
      </c>
      <c r="E30" s="366"/>
      <c r="F30" s="258">
        <f>SUM(E30*C30)</f>
        <v>0</v>
      </c>
    </row>
    <row r="31" spans="1:6" s="219" customFormat="1" ht="12.75">
      <c r="A31" s="222"/>
      <c r="B31" s="223" t="s">
        <v>1254</v>
      </c>
      <c r="C31" s="218">
        <v>2</v>
      </c>
      <c r="D31" s="209" t="s">
        <v>1009</v>
      </c>
      <c r="E31" s="366"/>
      <c r="F31" s="258">
        <f>SUM(E31*C31)</f>
        <v>0</v>
      </c>
    </row>
    <row r="32" spans="1:6" s="219" customFormat="1" ht="12.75">
      <c r="A32" s="222"/>
      <c r="B32" s="212" t="s">
        <v>1255</v>
      </c>
      <c r="C32" s="218">
        <v>2</v>
      </c>
      <c r="D32" s="209" t="s">
        <v>1009</v>
      </c>
      <c r="E32" s="366"/>
      <c r="F32" s="258">
        <f>SUM(E32*C32)</f>
        <v>0</v>
      </c>
    </row>
    <row r="33" spans="1:6" s="219" customFormat="1" ht="12.75">
      <c r="A33" s="222"/>
      <c r="B33" s="212"/>
      <c r="C33" s="218"/>
      <c r="D33" s="209"/>
      <c r="E33" s="257"/>
      <c r="F33" s="258"/>
    </row>
    <row r="34" spans="1:6" s="219" customFormat="1" ht="12.75">
      <c r="A34" s="222" t="s">
        <v>1256</v>
      </c>
      <c r="B34" s="227" t="s">
        <v>1257</v>
      </c>
      <c r="C34" s="218">
        <v>2</v>
      </c>
      <c r="D34" s="209" t="s">
        <v>1009</v>
      </c>
      <c r="E34" s="366"/>
      <c r="F34" s="258">
        <f>SUM(E34*C34)</f>
        <v>0</v>
      </c>
    </row>
    <row r="35" spans="1:6" s="219" customFormat="1" ht="12.75">
      <c r="A35" s="222"/>
      <c r="B35" s="223" t="s">
        <v>1253</v>
      </c>
      <c r="C35" s="228">
        <v>2</v>
      </c>
      <c r="D35" s="229" t="s">
        <v>167</v>
      </c>
      <c r="E35" s="366"/>
      <c r="F35" s="258">
        <f>SUM(E35*C35)</f>
        <v>0</v>
      </c>
    </row>
    <row r="36" spans="1:6" s="219" customFormat="1" ht="12.75">
      <c r="A36" s="222"/>
      <c r="B36" s="223" t="s">
        <v>1254</v>
      </c>
      <c r="C36" s="218">
        <v>2</v>
      </c>
      <c r="D36" s="209" t="s">
        <v>1009</v>
      </c>
      <c r="E36" s="366"/>
      <c r="F36" s="258">
        <f>SUM(E36*C36)</f>
        <v>0</v>
      </c>
    </row>
    <row r="37" spans="1:6" s="219" customFormat="1" ht="12.75">
      <c r="A37" s="222"/>
      <c r="B37" s="212" t="s">
        <v>1255</v>
      </c>
      <c r="C37" s="218">
        <v>2</v>
      </c>
      <c r="D37" s="209" t="s">
        <v>1009</v>
      </c>
      <c r="E37" s="366"/>
      <c r="F37" s="258">
        <f>SUM(E37*C37)</f>
        <v>0</v>
      </c>
    </row>
    <row r="38" spans="1:6" s="219" customFormat="1" ht="12.75">
      <c r="A38" s="222"/>
      <c r="B38" s="212"/>
      <c r="C38" s="218"/>
      <c r="D38" s="209"/>
      <c r="E38" s="257"/>
      <c r="F38" s="258"/>
    </row>
    <row r="39" spans="1:6" s="219" customFormat="1" ht="12.75">
      <c r="A39" s="222" t="s">
        <v>1258</v>
      </c>
      <c r="B39" s="212" t="s">
        <v>1259</v>
      </c>
      <c r="C39" s="218">
        <v>1</v>
      </c>
      <c r="D39" s="209" t="s">
        <v>167</v>
      </c>
      <c r="E39" s="366"/>
      <c r="F39" s="258">
        <f>SUM(E39*C39)</f>
        <v>0</v>
      </c>
    </row>
    <row r="40" spans="1:6" s="219" customFormat="1" ht="12.75">
      <c r="A40" s="222"/>
      <c r="B40" s="212" t="s">
        <v>1260</v>
      </c>
      <c r="C40" s="218">
        <v>1</v>
      </c>
      <c r="D40" s="209" t="s">
        <v>167</v>
      </c>
      <c r="E40" s="366"/>
      <c r="F40" s="258">
        <f>SUM(E40*C40)</f>
        <v>0</v>
      </c>
    </row>
    <row r="41" spans="1:6" s="219" customFormat="1" ht="12.75">
      <c r="A41" s="222"/>
      <c r="B41" s="212" t="s">
        <v>1261</v>
      </c>
      <c r="C41" s="218">
        <v>1</v>
      </c>
      <c r="D41" s="209" t="s">
        <v>167</v>
      </c>
      <c r="E41" s="366"/>
      <c r="F41" s="258">
        <f>SUM(E41*C41)</f>
        <v>0</v>
      </c>
    </row>
    <row r="42" spans="1:6" s="219" customFormat="1" ht="12.75">
      <c r="A42" s="222"/>
      <c r="B42" s="212" t="s">
        <v>1262</v>
      </c>
      <c r="C42" s="218">
        <v>1</v>
      </c>
      <c r="D42" s="209" t="s">
        <v>167</v>
      </c>
      <c r="E42" s="366"/>
      <c r="F42" s="258">
        <f>SUM(E42*C42)</f>
        <v>0</v>
      </c>
    </row>
    <row r="43" spans="1:6" s="219" customFormat="1" ht="12.75">
      <c r="A43" s="222"/>
      <c r="B43" s="212"/>
      <c r="C43" s="218"/>
      <c r="D43" s="209"/>
      <c r="E43" s="259"/>
      <c r="F43" s="260"/>
    </row>
    <row r="44" spans="1:6" s="219" customFormat="1" ht="12.75">
      <c r="A44" s="222"/>
      <c r="B44" s="212" t="s">
        <v>1263</v>
      </c>
      <c r="C44" s="211">
        <v>1</v>
      </c>
      <c r="D44" s="209" t="s">
        <v>1236</v>
      </c>
      <c r="E44" s="366"/>
      <c r="F44" s="258">
        <f>SUM(E44*C44)</f>
        <v>0</v>
      </c>
    </row>
    <row r="45" spans="1:6" s="219" customFormat="1" ht="12.75">
      <c r="A45" s="222"/>
      <c r="B45" s="212"/>
      <c r="C45" s="211"/>
      <c r="D45" s="209"/>
      <c r="E45" s="257"/>
      <c r="F45" s="258"/>
    </row>
    <row r="46" spans="1:6" s="219" customFormat="1" ht="15.75">
      <c r="A46" s="222"/>
      <c r="B46" s="207" t="s">
        <v>1300</v>
      </c>
      <c r="C46" s="263"/>
      <c r="D46" s="264"/>
      <c r="E46" s="265"/>
      <c r="F46" s="265">
        <f>SUBTOTAL(9,F17:F44)</f>
        <v>0</v>
      </c>
    </row>
    <row r="47" spans="1:6" s="219" customFormat="1" ht="8.25" customHeight="1">
      <c r="A47" s="222"/>
      <c r="B47" s="207"/>
      <c r="C47" s="218"/>
      <c r="D47" s="209"/>
      <c r="E47" s="259"/>
      <c r="F47" s="257"/>
    </row>
    <row r="48" spans="1:6" s="219" customFormat="1" ht="12" customHeight="1">
      <c r="A48" s="222"/>
      <c r="B48" s="207"/>
      <c r="C48" s="218"/>
      <c r="D48" s="209"/>
      <c r="E48" s="259"/>
      <c r="F48" s="257"/>
    </row>
    <row r="49" spans="1:6" s="219" customFormat="1" ht="15.75">
      <c r="A49" s="222"/>
      <c r="B49" s="207" t="s">
        <v>1264</v>
      </c>
      <c r="C49" s="218"/>
      <c r="D49" s="209"/>
      <c r="E49" s="259"/>
      <c r="F49" s="260"/>
    </row>
    <row r="50" spans="1:6" s="219" customFormat="1" ht="15.75">
      <c r="A50" s="222"/>
      <c r="B50" s="207"/>
      <c r="C50" s="218"/>
      <c r="D50" s="209"/>
      <c r="E50" s="259"/>
      <c r="F50" s="260"/>
    </row>
    <row r="51" spans="1:8" s="219" customFormat="1" ht="25.5" customHeight="1">
      <c r="A51" s="224"/>
      <c r="B51" s="212" t="s">
        <v>1265</v>
      </c>
      <c r="C51" s="218">
        <v>2</v>
      </c>
      <c r="D51" s="209" t="s">
        <v>1009</v>
      </c>
      <c r="E51" s="366"/>
      <c r="F51" s="258">
        <f>SUM(E51*C51)</f>
        <v>0</v>
      </c>
      <c r="G51" s="230"/>
      <c r="H51" s="230"/>
    </row>
    <row r="52" spans="1:8" s="219" customFormat="1" ht="12.75">
      <c r="A52" s="224"/>
      <c r="B52" s="212" t="s">
        <v>1266</v>
      </c>
      <c r="C52" s="218">
        <v>2</v>
      </c>
      <c r="D52" s="209" t="s">
        <v>1009</v>
      </c>
      <c r="E52" s="366"/>
      <c r="F52" s="258">
        <f>SUM(E52*C52)</f>
        <v>0</v>
      </c>
      <c r="G52" s="230"/>
      <c r="H52" s="230"/>
    </row>
    <row r="53" spans="1:8" s="219" customFormat="1" ht="12.75">
      <c r="A53" s="224"/>
      <c r="B53" s="212" t="s">
        <v>1267</v>
      </c>
      <c r="C53" s="218">
        <v>1</v>
      </c>
      <c r="D53" s="209" t="s">
        <v>1009</v>
      </c>
      <c r="E53" s="366"/>
      <c r="F53" s="258">
        <f>SUM(E53*C53)</f>
        <v>0</v>
      </c>
      <c r="G53" s="230"/>
      <c r="H53" s="231"/>
    </row>
    <row r="54" spans="1:6" s="219" customFormat="1" ht="12.75">
      <c r="A54" s="224"/>
      <c r="B54" s="212" t="s">
        <v>1268</v>
      </c>
      <c r="C54" s="218">
        <v>1</v>
      </c>
      <c r="D54" s="229" t="s">
        <v>1009</v>
      </c>
      <c r="E54" s="366"/>
      <c r="F54" s="258">
        <f>SUM(E54*C54)</f>
        <v>0</v>
      </c>
    </row>
    <row r="55" spans="1:6" s="219" customFormat="1" ht="12.75">
      <c r="A55" s="224"/>
      <c r="B55" s="212" t="s">
        <v>1269</v>
      </c>
      <c r="C55" s="218">
        <v>5</v>
      </c>
      <c r="D55" s="229" t="s">
        <v>1009</v>
      </c>
      <c r="E55" s="366"/>
      <c r="F55" s="258">
        <f>SUM(E55*C55)</f>
        <v>0</v>
      </c>
    </row>
    <row r="56" spans="1:6" s="219" customFormat="1" ht="12.75">
      <c r="A56" s="224"/>
      <c r="B56" s="212"/>
      <c r="C56" s="218"/>
      <c r="D56" s="229"/>
      <c r="E56" s="259"/>
      <c r="F56" s="258"/>
    </row>
    <row r="57" spans="1:6" s="219" customFormat="1" ht="12.75">
      <c r="A57" s="224"/>
      <c r="B57" s="212" t="s">
        <v>1270</v>
      </c>
      <c r="C57" s="218"/>
      <c r="D57" s="229"/>
      <c r="E57" s="259"/>
      <c r="F57" s="258"/>
    </row>
    <row r="58" spans="1:6" s="219" customFormat="1" ht="12.75">
      <c r="A58" s="224"/>
      <c r="B58" s="232" t="s">
        <v>1271</v>
      </c>
      <c r="C58" s="218">
        <v>28.5</v>
      </c>
      <c r="D58" s="229" t="s">
        <v>385</v>
      </c>
      <c r="E58" s="366"/>
      <c r="F58" s="258">
        <f>SUM(E58*C58)</f>
        <v>0</v>
      </c>
    </row>
    <row r="59" spans="1:6" s="219" customFormat="1" ht="12.75">
      <c r="A59" s="224"/>
      <c r="B59" s="212"/>
      <c r="C59" s="218"/>
      <c r="D59" s="209"/>
      <c r="E59" s="259"/>
      <c r="F59" s="258"/>
    </row>
    <row r="60" spans="1:6" s="219" customFormat="1" ht="12.75">
      <c r="A60" s="224"/>
      <c r="B60" s="219" t="s">
        <v>1272</v>
      </c>
      <c r="C60" s="218"/>
      <c r="D60" s="209"/>
      <c r="E60" s="259"/>
      <c r="F60" s="258"/>
    </row>
    <row r="61" spans="1:6" s="219" customFormat="1" ht="12.75">
      <c r="A61" s="224"/>
      <c r="B61" s="219" t="s">
        <v>1273</v>
      </c>
      <c r="C61" s="218">
        <v>16</v>
      </c>
      <c r="D61" s="209" t="s">
        <v>385</v>
      </c>
      <c r="E61" s="366"/>
      <c r="F61" s="258">
        <f>SUM(E61*C61)</f>
        <v>0</v>
      </c>
    </row>
    <row r="62" spans="1:8" s="219" customFormat="1" ht="12.75">
      <c r="A62" s="224"/>
      <c r="B62" s="219" t="s">
        <v>1274</v>
      </c>
      <c r="C62" s="218">
        <v>7</v>
      </c>
      <c r="D62" s="209" t="s">
        <v>385</v>
      </c>
      <c r="E62" s="366"/>
      <c r="F62" s="258">
        <f>SUM(E62*C62)</f>
        <v>0</v>
      </c>
      <c r="H62" s="230"/>
    </row>
    <row r="63" spans="1:8" s="219" customFormat="1" ht="12.75">
      <c r="A63" s="224"/>
      <c r="B63" s="219" t="s">
        <v>1275</v>
      </c>
      <c r="C63" s="218">
        <v>8</v>
      </c>
      <c r="D63" s="209" t="s">
        <v>385</v>
      </c>
      <c r="E63" s="366"/>
      <c r="F63" s="258">
        <f>SUM(E63*C63)</f>
        <v>0</v>
      </c>
      <c r="H63" s="230"/>
    </row>
    <row r="64" spans="1:6" s="219" customFormat="1" ht="12.75">
      <c r="A64" s="224"/>
      <c r="B64" s="219" t="s">
        <v>1276</v>
      </c>
      <c r="C64" s="218">
        <v>9</v>
      </c>
      <c r="D64" s="209" t="s">
        <v>385</v>
      </c>
      <c r="E64" s="366"/>
      <c r="F64" s="258">
        <f>SUM(E64*C64)</f>
        <v>0</v>
      </c>
    </row>
    <row r="65" spans="1:6" s="219" customFormat="1" ht="12.75">
      <c r="A65" s="224"/>
      <c r="B65" s="233"/>
      <c r="C65" s="218"/>
      <c r="D65" s="209"/>
      <c r="E65" s="259"/>
      <c r="F65" s="259"/>
    </row>
    <row r="66" spans="1:6" s="219" customFormat="1" ht="12.75">
      <c r="A66" s="224"/>
      <c r="B66" s="212" t="s">
        <v>1563</v>
      </c>
      <c r="C66" s="219">
        <v>52</v>
      </c>
      <c r="D66" s="209" t="s">
        <v>385</v>
      </c>
      <c r="E66" s="366"/>
      <c r="F66" s="258">
        <f>SUM(E66*C66)</f>
        <v>0</v>
      </c>
    </row>
    <row r="67" spans="1:6" s="219" customFormat="1" ht="12.75">
      <c r="A67" s="224"/>
      <c r="B67" s="212" t="s">
        <v>1564</v>
      </c>
      <c r="C67" s="219">
        <v>8</v>
      </c>
      <c r="D67" s="209" t="s">
        <v>385</v>
      </c>
      <c r="E67" s="366"/>
      <c r="F67" s="258">
        <f>SUM(E67*C67)</f>
        <v>0</v>
      </c>
    </row>
    <row r="68" spans="1:10" s="219" customFormat="1" ht="12.75">
      <c r="A68" s="224"/>
      <c r="B68" s="212" t="s">
        <v>1565</v>
      </c>
      <c r="C68" s="219">
        <v>9</v>
      </c>
      <c r="D68" s="209" t="s">
        <v>385</v>
      </c>
      <c r="E68" s="366"/>
      <c r="F68" s="258">
        <f>SUM(E68*C68)</f>
        <v>0</v>
      </c>
      <c r="G68" s="218"/>
      <c r="J68" s="230"/>
    </row>
    <row r="69" spans="1:10" s="219" customFormat="1" ht="12.75">
      <c r="A69" s="224"/>
      <c r="B69" s="212"/>
      <c r="D69" s="209"/>
      <c r="E69" s="259"/>
      <c r="F69" s="258"/>
      <c r="G69" s="218"/>
      <c r="J69" s="230"/>
    </row>
    <row r="70" spans="1:6" s="219" customFormat="1" ht="12.75">
      <c r="A70" s="224"/>
      <c r="B70" s="212" t="s">
        <v>1277</v>
      </c>
      <c r="C70" s="218">
        <v>69</v>
      </c>
      <c r="D70" s="209" t="s">
        <v>385</v>
      </c>
      <c r="E70" s="366"/>
      <c r="F70" s="258">
        <f>SUM(E70*C70)</f>
        <v>0</v>
      </c>
    </row>
    <row r="71" spans="1:6" s="219" customFormat="1" ht="12.75">
      <c r="A71" s="224"/>
      <c r="B71" s="212" t="s">
        <v>1468</v>
      </c>
      <c r="C71" s="218">
        <v>1</v>
      </c>
      <c r="D71" s="209" t="s">
        <v>167</v>
      </c>
      <c r="E71" s="366"/>
      <c r="F71" s="258">
        <f>SUM(E71*C71)</f>
        <v>0</v>
      </c>
    </row>
    <row r="72" spans="1:6" s="219" customFormat="1" ht="12.75">
      <c r="A72" s="224"/>
      <c r="B72" s="212" t="s">
        <v>1263</v>
      </c>
      <c r="C72" s="211">
        <v>1</v>
      </c>
      <c r="D72" s="209" t="s">
        <v>1236</v>
      </c>
      <c r="E72" s="366"/>
      <c r="F72" s="258">
        <f>SUM(E72*C72)</f>
        <v>0</v>
      </c>
    </row>
    <row r="73" spans="1:6" s="219" customFormat="1" ht="12.75">
      <c r="A73" s="224"/>
      <c r="B73" s="212"/>
      <c r="C73" s="218"/>
      <c r="D73" s="209"/>
      <c r="E73" s="259"/>
      <c r="F73" s="258"/>
    </row>
    <row r="74" spans="1:6" s="219" customFormat="1" ht="15.75">
      <c r="A74" s="224"/>
      <c r="B74" s="207" t="s">
        <v>1299</v>
      </c>
      <c r="C74" s="263"/>
      <c r="D74" s="264"/>
      <c r="E74" s="265"/>
      <c r="F74" s="265">
        <f>SUBTOTAL(9,F51:F72)</f>
        <v>0</v>
      </c>
    </row>
    <row r="75" spans="1:6" s="219" customFormat="1" ht="12.75">
      <c r="A75" s="224"/>
      <c r="B75" s="212"/>
      <c r="C75" s="218"/>
      <c r="D75" s="209"/>
      <c r="E75" s="259"/>
      <c r="F75" s="257"/>
    </row>
    <row r="76" spans="1:6" s="219" customFormat="1" ht="12.75">
      <c r="A76" s="224"/>
      <c r="B76" s="212"/>
      <c r="C76" s="218"/>
      <c r="D76" s="209"/>
      <c r="E76" s="259"/>
      <c r="F76" s="257"/>
    </row>
    <row r="77" spans="1:8" s="219" customFormat="1" ht="15.75">
      <c r="A77" s="224"/>
      <c r="B77" s="207" t="s">
        <v>1278</v>
      </c>
      <c r="C77" s="218"/>
      <c r="D77" s="209"/>
      <c r="E77" s="259"/>
      <c r="F77" s="260"/>
      <c r="G77" s="230"/>
      <c r="H77" s="230"/>
    </row>
    <row r="78" spans="1:8" s="219" customFormat="1" ht="15.75">
      <c r="A78" s="224"/>
      <c r="B78" s="207"/>
      <c r="C78" s="218"/>
      <c r="D78" s="209"/>
      <c r="E78" s="259"/>
      <c r="F78" s="260"/>
      <c r="G78" s="230"/>
      <c r="H78" s="230"/>
    </row>
    <row r="79" spans="1:8" s="219" customFormat="1" ht="12.75">
      <c r="A79" s="224"/>
      <c r="B79" s="212" t="s">
        <v>1279</v>
      </c>
      <c r="C79" s="218">
        <v>1</v>
      </c>
      <c r="D79" s="209" t="s">
        <v>1009</v>
      </c>
      <c r="E79" s="261"/>
      <c r="F79" s="260"/>
      <c r="H79" s="230"/>
    </row>
    <row r="80" spans="1:6" s="219" customFormat="1" ht="12.75">
      <c r="A80" s="217"/>
      <c r="B80" s="212" t="s">
        <v>1566</v>
      </c>
      <c r="C80" s="218">
        <v>1</v>
      </c>
      <c r="D80" s="209" t="s">
        <v>1009</v>
      </c>
      <c r="E80" s="366"/>
      <c r="F80" s="258">
        <f>SUM(E80*C80)</f>
        <v>0</v>
      </c>
    </row>
    <row r="81" spans="1:8" s="219" customFormat="1" ht="12.75">
      <c r="A81" s="224"/>
      <c r="B81" s="212" t="s">
        <v>1280</v>
      </c>
      <c r="C81" s="218">
        <v>1</v>
      </c>
      <c r="D81" s="209" t="s">
        <v>1009</v>
      </c>
      <c r="E81" s="366"/>
      <c r="F81" s="258">
        <f>SUM(E81*C81)</f>
        <v>0</v>
      </c>
      <c r="H81" s="230"/>
    </row>
    <row r="82" spans="1:8" s="219" customFormat="1" ht="12.75">
      <c r="A82" s="224"/>
      <c r="B82" s="212" t="s">
        <v>1567</v>
      </c>
      <c r="C82" s="218">
        <v>10</v>
      </c>
      <c r="D82" s="209" t="s">
        <v>1009</v>
      </c>
      <c r="E82" s="366"/>
      <c r="F82" s="258">
        <f>SUM(E82*C82)</f>
        <v>0</v>
      </c>
      <c r="H82" s="230"/>
    </row>
    <row r="83" spans="1:8" s="219" customFormat="1" ht="12.75">
      <c r="A83" s="224"/>
      <c r="B83" s="212" t="s">
        <v>1281</v>
      </c>
      <c r="C83" s="218">
        <v>2</v>
      </c>
      <c r="D83" s="209" t="s">
        <v>1009</v>
      </c>
      <c r="E83" s="366"/>
      <c r="F83" s="258">
        <f>SUM(E83*C83)</f>
        <v>0</v>
      </c>
      <c r="H83" s="230"/>
    </row>
    <row r="84" spans="2:6" s="219" customFormat="1" ht="12.75">
      <c r="B84" s="212"/>
      <c r="C84" s="218"/>
      <c r="D84" s="209"/>
      <c r="E84" s="260"/>
      <c r="F84" s="258"/>
    </row>
    <row r="85" spans="1:8" s="219" customFormat="1" ht="12.75">
      <c r="A85" s="224"/>
      <c r="B85" s="219" t="s">
        <v>1568</v>
      </c>
      <c r="C85" s="218"/>
      <c r="D85" s="209"/>
      <c r="E85" s="259"/>
      <c r="F85" s="258"/>
      <c r="H85" s="230"/>
    </row>
    <row r="86" spans="1:8" s="219" customFormat="1" ht="12.75">
      <c r="A86" s="224"/>
      <c r="B86" s="219" t="s">
        <v>1282</v>
      </c>
      <c r="C86" s="218">
        <v>36</v>
      </c>
      <c r="D86" s="209" t="s">
        <v>385</v>
      </c>
      <c r="E86" s="366"/>
      <c r="F86" s="258">
        <f>SUM(E86*C86)</f>
        <v>0</v>
      </c>
      <c r="H86" s="230"/>
    </row>
    <row r="87" spans="1:8" s="219" customFormat="1" ht="12.75">
      <c r="A87" s="224"/>
      <c r="B87" s="219" t="s">
        <v>1283</v>
      </c>
      <c r="C87" s="218">
        <v>46</v>
      </c>
      <c r="D87" s="209" t="s">
        <v>385</v>
      </c>
      <c r="E87" s="366"/>
      <c r="F87" s="258">
        <f>SUM(E87*C87)</f>
        <v>0</v>
      </c>
      <c r="H87" s="230"/>
    </row>
    <row r="88" spans="1:8" s="219" customFormat="1" ht="12.75">
      <c r="A88" s="224"/>
      <c r="B88" s="219" t="s">
        <v>1284</v>
      </c>
      <c r="C88" s="218">
        <v>10</v>
      </c>
      <c r="D88" s="209" t="s">
        <v>385</v>
      </c>
      <c r="E88" s="366"/>
      <c r="F88" s="258">
        <f>SUM(E88*C88)</f>
        <v>0</v>
      </c>
      <c r="H88" s="230"/>
    </row>
    <row r="89" spans="1:8" s="219" customFormat="1" ht="12.75">
      <c r="A89" s="224"/>
      <c r="C89" s="218"/>
      <c r="D89" s="209"/>
      <c r="E89" s="259"/>
      <c r="F89" s="258"/>
      <c r="H89" s="230"/>
    </row>
    <row r="90" spans="1:8" s="219" customFormat="1" ht="12.75">
      <c r="A90" s="224"/>
      <c r="B90" s="219" t="s">
        <v>1569</v>
      </c>
      <c r="C90" s="218"/>
      <c r="D90" s="209"/>
      <c r="E90" s="259"/>
      <c r="F90" s="258"/>
      <c r="H90" s="230"/>
    </row>
    <row r="91" spans="1:8" s="219" customFormat="1" ht="12.75">
      <c r="A91" s="224"/>
      <c r="B91" s="219" t="s">
        <v>1285</v>
      </c>
      <c r="C91" s="218">
        <v>40</v>
      </c>
      <c r="D91" s="209" t="s">
        <v>385</v>
      </c>
      <c r="E91" s="366"/>
      <c r="F91" s="258">
        <f>SUM(E91*C91)</f>
        <v>0</v>
      </c>
      <c r="H91" s="230"/>
    </row>
    <row r="92" spans="1:8" s="219" customFormat="1" ht="12.75">
      <c r="A92" s="224"/>
      <c r="B92" s="219" t="s">
        <v>1286</v>
      </c>
      <c r="C92" s="218">
        <v>22</v>
      </c>
      <c r="D92" s="209" t="s">
        <v>385</v>
      </c>
      <c r="E92" s="366"/>
      <c r="F92" s="258">
        <f>SUM(E92*C92)</f>
        <v>0</v>
      </c>
      <c r="H92" s="230"/>
    </row>
    <row r="93" spans="1:6" s="219" customFormat="1" ht="12.75">
      <c r="A93" s="224"/>
      <c r="B93" s="212"/>
      <c r="C93" s="218"/>
      <c r="D93" s="209"/>
      <c r="E93" s="259"/>
      <c r="F93" s="258"/>
    </row>
    <row r="94" spans="1:6" s="219" customFormat="1" ht="12.75">
      <c r="A94" s="224"/>
      <c r="B94" s="219" t="s">
        <v>1287</v>
      </c>
      <c r="C94" s="218">
        <v>1</v>
      </c>
      <c r="D94" s="209" t="s">
        <v>167</v>
      </c>
      <c r="E94" s="366"/>
      <c r="F94" s="258">
        <f>SUM(E94*C94)</f>
        <v>0</v>
      </c>
    </row>
    <row r="95" spans="1:6" s="219" customFormat="1" ht="12.75">
      <c r="A95" s="224"/>
      <c r="B95" s="212"/>
      <c r="C95" s="218"/>
      <c r="D95" s="209"/>
      <c r="E95" s="259"/>
      <c r="F95" s="258"/>
    </row>
    <row r="96" spans="1:6" s="219" customFormat="1" ht="12.75">
      <c r="A96" s="224"/>
      <c r="B96" s="212" t="s">
        <v>1570</v>
      </c>
      <c r="C96" s="218"/>
      <c r="D96" s="209"/>
      <c r="E96" s="259"/>
      <c r="F96" s="258"/>
    </row>
    <row r="97" spans="1:6" s="219" customFormat="1" ht="12.75">
      <c r="A97" s="224"/>
      <c r="B97" s="212" t="s">
        <v>1288</v>
      </c>
      <c r="C97" s="218">
        <v>36</v>
      </c>
      <c r="D97" s="209" t="s">
        <v>385</v>
      </c>
      <c r="E97" s="366"/>
      <c r="F97" s="258">
        <f>SUM(E97*C97)</f>
        <v>0</v>
      </c>
    </row>
    <row r="98" spans="1:6" s="219" customFormat="1" ht="12.75">
      <c r="A98" s="224"/>
      <c r="B98" s="212" t="s">
        <v>1289</v>
      </c>
      <c r="C98" s="218">
        <v>46</v>
      </c>
      <c r="D98" s="209" t="s">
        <v>385</v>
      </c>
      <c r="E98" s="366"/>
      <c r="F98" s="258">
        <f>SUM(E98*C98)</f>
        <v>0</v>
      </c>
    </row>
    <row r="99" spans="1:6" s="219" customFormat="1" ht="12.75">
      <c r="A99" s="224"/>
      <c r="B99" s="212" t="s">
        <v>1290</v>
      </c>
      <c r="C99" s="218">
        <v>10</v>
      </c>
      <c r="D99" s="209" t="s">
        <v>385</v>
      </c>
      <c r="E99" s="366"/>
      <c r="F99" s="258">
        <f>SUM(E99*C99)</f>
        <v>0</v>
      </c>
    </row>
    <row r="100" spans="1:6" s="219" customFormat="1" ht="12.75">
      <c r="A100" s="224"/>
      <c r="B100" s="212"/>
      <c r="C100" s="218"/>
      <c r="D100" s="209"/>
      <c r="E100" s="259"/>
      <c r="F100" s="258"/>
    </row>
    <row r="101" spans="1:6" s="219" customFormat="1" ht="12.75">
      <c r="A101" s="224"/>
      <c r="B101" s="212" t="s">
        <v>1571</v>
      </c>
      <c r="C101" s="218"/>
      <c r="D101" s="209"/>
      <c r="E101" s="259"/>
      <c r="F101" s="258"/>
    </row>
    <row r="102" spans="1:6" s="219" customFormat="1" ht="12.75">
      <c r="A102" s="224"/>
      <c r="B102" s="212" t="s">
        <v>1291</v>
      </c>
      <c r="C102" s="218">
        <v>40</v>
      </c>
      <c r="D102" s="209" t="s">
        <v>385</v>
      </c>
      <c r="E102" s="366"/>
      <c r="F102" s="258">
        <f>SUM(E102*C102)</f>
        <v>0</v>
      </c>
    </row>
    <row r="103" spans="1:6" s="219" customFormat="1" ht="12.75">
      <c r="A103" s="224"/>
      <c r="B103" s="212" t="s">
        <v>1292</v>
      </c>
      <c r="C103" s="218">
        <v>22</v>
      </c>
      <c r="D103" s="209" t="s">
        <v>385</v>
      </c>
      <c r="E103" s="366"/>
      <c r="F103" s="258">
        <f>SUM(E103*C103)</f>
        <v>0</v>
      </c>
    </row>
    <row r="104" spans="1:6" s="219" customFormat="1" ht="12.75">
      <c r="A104" s="224"/>
      <c r="B104" s="212"/>
      <c r="C104" s="218"/>
      <c r="D104" s="209"/>
      <c r="E104" s="259"/>
      <c r="F104" s="258"/>
    </row>
    <row r="105" spans="1:6" s="219" customFormat="1" ht="12.75">
      <c r="A105" s="224"/>
      <c r="B105" s="223" t="s">
        <v>1293</v>
      </c>
      <c r="C105" s="218">
        <v>154</v>
      </c>
      <c r="D105" s="209" t="s">
        <v>385</v>
      </c>
      <c r="E105" s="366"/>
      <c r="F105" s="258">
        <f>SUM(E105*C105)</f>
        <v>0</v>
      </c>
    </row>
    <row r="106" spans="2:6" s="219" customFormat="1" ht="12.75">
      <c r="B106" s="223" t="s">
        <v>1294</v>
      </c>
      <c r="C106" s="218">
        <v>154</v>
      </c>
      <c r="D106" s="209" t="s">
        <v>385</v>
      </c>
      <c r="E106" s="366"/>
      <c r="F106" s="258">
        <f>SUM(E106*C106)</f>
        <v>0</v>
      </c>
    </row>
    <row r="107" ht="12.75">
      <c r="F107" s="258"/>
    </row>
    <row r="108" spans="2:6" ht="12.75">
      <c r="B108" s="212" t="s">
        <v>1263</v>
      </c>
      <c r="C108" s="211">
        <v>1</v>
      </c>
      <c r="D108" s="209" t="s">
        <v>1236</v>
      </c>
      <c r="E108" s="366"/>
      <c r="F108" s="258">
        <f>SUM(E108*C108)</f>
        <v>0</v>
      </c>
    </row>
    <row r="110" spans="1:6" s="219" customFormat="1" ht="15.75">
      <c r="A110" s="201"/>
      <c r="B110" s="266" t="s">
        <v>1298</v>
      </c>
      <c r="C110" s="266"/>
      <c r="D110" s="266"/>
      <c r="E110" s="265"/>
      <c r="F110" s="265">
        <f>SUBTOTAL(9,F80:F108)</f>
        <v>0</v>
      </c>
    </row>
    <row r="111" spans="1:6" s="219" customFormat="1" ht="12.75">
      <c r="A111" s="201"/>
      <c r="B111" s="201"/>
      <c r="C111" s="201"/>
      <c r="D111" s="201"/>
      <c r="E111" s="259"/>
      <c r="F111" s="257"/>
    </row>
    <row r="127" ht="12" customHeight="1"/>
    <row r="153" ht="25.5" customHeight="1"/>
    <row r="162" ht="12" customHeight="1"/>
  </sheetData>
  <sheetProtection password="C0EE" sheet="1" objects="1"/>
  <printOptions horizontalCentered="1"/>
  <pageMargins left="0.7480314960629921" right="0.7480314960629921" top="0.7874015748031497" bottom="0.984251968503937" header="0.5118110236220472" footer="0.5118110236220472"/>
  <pageSetup cellComments="atEnd" firstPageNumber="1" useFirstPageNumber="1" fitToHeight="3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421875" style="214" customWidth="1"/>
    <col min="2" max="2" width="50.57421875" style="214" customWidth="1"/>
    <col min="3" max="3" width="5.00390625" style="214" customWidth="1"/>
    <col min="4" max="4" width="9.00390625" style="215" customWidth="1"/>
    <col min="5" max="5" width="15.00390625" style="214" customWidth="1"/>
    <col min="6" max="6" width="15.57421875" style="214" customWidth="1"/>
    <col min="7" max="16384" width="9.00390625" style="214" customWidth="1"/>
  </cols>
  <sheetData>
    <row r="1" spans="1:6" s="2" customFormat="1" ht="18" customHeight="1">
      <c r="A1" s="234" t="s">
        <v>89</v>
      </c>
      <c r="B1" s="150"/>
      <c r="C1" s="150"/>
      <c r="D1" s="150"/>
      <c r="E1" s="150"/>
      <c r="F1" s="150"/>
    </row>
    <row r="2" spans="1:6" s="2" customFormat="1" ht="11.25" customHeight="1">
      <c r="A2" s="236" t="s">
        <v>76</v>
      </c>
      <c r="B2" s="118" t="str">
        <f>'Krycí list'!$E$5</f>
        <v>Podkrovní byty Dr. Zikmunda Wintra 432-8</v>
      </c>
      <c r="C2" s="118"/>
      <c r="D2" s="118"/>
      <c r="E2" s="118"/>
      <c r="F2" s="118"/>
    </row>
    <row r="3" spans="1:6" s="2" customFormat="1" ht="11.25" customHeight="1">
      <c r="A3" s="236" t="s">
        <v>77</v>
      </c>
      <c r="B3" s="118"/>
      <c r="C3" s="118" t="str">
        <f>'[2]Krycí list'!E7</f>
        <v> </v>
      </c>
      <c r="D3" s="118"/>
      <c r="E3" s="118"/>
      <c r="F3" s="118"/>
    </row>
    <row r="4" spans="1:6" s="2" customFormat="1" ht="11.25" customHeight="1">
      <c r="A4" s="236" t="s">
        <v>78</v>
      </c>
      <c r="B4" s="118"/>
      <c r="C4" s="118" t="str">
        <f>'[2]Krycí list'!E9</f>
        <v> </v>
      </c>
      <c r="D4" s="118"/>
      <c r="E4" s="118"/>
      <c r="F4" s="118"/>
    </row>
    <row r="5" spans="1:6" s="2" customFormat="1" ht="11.25" customHeight="1">
      <c r="A5" s="118" t="s">
        <v>90</v>
      </c>
      <c r="B5" s="118"/>
      <c r="C5" s="118" t="str">
        <f>'[2]Krycí list'!P5</f>
        <v> </v>
      </c>
      <c r="D5" s="118"/>
      <c r="E5" s="118"/>
      <c r="F5" s="118"/>
    </row>
    <row r="6" spans="1:6" s="2" customFormat="1" ht="6" customHeight="1">
      <c r="A6" s="118"/>
      <c r="B6" s="118"/>
      <c r="C6" s="118"/>
      <c r="D6" s="118"/>
      <c r="E6" s="118"/>
      <c r="F6" s="118"/>
    </row>
    <row r="7" spans="1:6" s="2" customFormat="1" ht="11.25" customHeight="1">
      <c r="A7" s="118" t="s">
        <v>80</v>
      </c>
      <c r="B7" s="118"/>
      <c r="C7" s="118" t="str">
        <f>'[2]Krycí list'!E26</f>
        <v> </v>
      </c>
      <c r="D7" s="118"/>
      <c r="E7" s="118"/>
      <c r="F7" s="118"/>
    </row>
    <row r="8" spans="1:6" s="2" customFormat="1" ht="11.25" customHeight="1">
      <c r="A8" s="118" t="s">
        <v>81</v>
      </c>
      <c r="B8" s="118"/>
      <c r="C8" s="118" t="str">
        <f>'[2]Krycí list'!E28</f>
        <v> </v>
      </c>
      <c r="D8" s="118"/>
      <c r="E8" s="118"/>
      <c r="F8" s="118"/>
    </row>
    <row r="9" spans="1:6" s="2" customFormat="1" ht="11.25" customHeight="1">
      <c r="A9" s="118" t="s">
        <v>82</v>
      </c>
      <c r="B9" s="247" t="str">
        <f>'Krycí list'!$O$31</f>
        <v>20.1.2015</v>
      </c>
      <c r="C9" s="118"/>
      <c r="D9" s="118"/>
      <c r="E9" s="118"/>
      <c r="F9" s="118"/>
    </row>
    <row r="10" spans="1:6" s="2" customFormat="1" ht="5.25" customHeight="1">
      <c r="A10" s="150"/>
      <c r="B10" s="150"/>
      <c r="C10" s="150"/>
      <c r="D10" s="150"/>
      <c r="E10" s="150"/>
      <c r="F10" s="150"/>
    </row>
    <row r="11" spans="1:6" s="2" customFormat="1" ht="21.75" customHeight="1">
      <c r="A11" s="122" t="s">
        <v>91</v>
      </c>
      <c r="B11" s="123" t="s">
        <v>84</v>
      </c>
      <c r="C11" s="123" t="s">
        <v>96</v>
      </c>
      <c r="D11" s="123" t="s">
        <v>95</v>
      </c>
      <c r="E11" s="123" t="s">
        <v>97</v>
      </c>
      <c r="F11" s="123" t="s">
        <v>85</v>
      </c>
    </row>
    <row r="12" spans="1:6" s="2" customFormat="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</row>
    <row r="14" spans="2:6" s="208" customFormat="1" ht="20.25" customHeight="1">
      <c r="B14" s="207" t="s">
        <v>1228</v>
      </c>
      <c r="D14" s="209"/>
      <c r="E14" s="210"/>
      <c r="F14" s="210"/>
    </row>
    <row r="15" spans="2:5" s="208" customFormat="1" ht="15.75">
      <c r="B15" s="207"/>
      <c r="D15" s="209"/>
      <c r="E15" s="211"/>
    </row>
    <row r="16" spans="2:6" s="208" customFormat="1" ht="12.75">
      <c r="B16" s="212" t="s">
        <v>1229</v>
      </c>
      <c r="D16" s="209"/>
      <c r="E16" s="210"/>
      <c r="F16" s="210"/>
    </row>
    <row r="17" spans="2:6" s="208" customFormat="1" ht="12.75">
      <c r="B17" s="208" t="s">
        <v>1196</v>
      </c>
      <c r="C17" s="208">
        <v>6</v>
      </c>
      <c r="D17" s="213" t="s">
        <v>385</v>
      </c>
      <c r="E17" s="364"/>
      <c r="F17" s="210">
        <f>(C17*E17)</f>
        <v>0</v>
      </c>
    </row>
    <row r="18" spans="2:6" s="208" customFormat="1" ht="12.75">
      <c r="B18" s="208" t="s">
        <v>1230</v>
      </c>
      <c r="C18" s="208">
        <v>1</v>
      </c>
      <c r="D18" s="213" t="s">
        <v>385</v>
      </c>
      <c r="E18" s="364"/>
      <c r="F18" s="210">
        <f>(C18*E18)</f>
        <v>0</v>
      </c>
    </row>
    <row r="19" spans="2:6" s="208" customFormat="1" ht="12.75">
      <c r="B19" s="212" t="s">
        <v>1231</v>
      </c>
      <c r="C19" s="208">
        <v>1</v>
      </c>
      <c r="D19" s="213" t="s">
        <v>1009</v>
      </c>
      <c r="E19" s="364"/>
      <c r="F19" s="210">
        <f>(C19*E19)</f>
        <v>0</v>
      </c>
    </row>
    <row r="20" spans="2:6" s="208" customFormat="1" ht="12.75">
      <c r="B20" s="212" t="s">
        <v>1232</v>
      </c>
      <c r="C20" s="208">
        <v>2</v>
      </c>
      <c r="D20" s="209" t="s">
        <v>1009</v>
      </c>
      <c r="E20" s="364"/>
      <c r="F20" s="210">
        <f>(C20*E20)</f>
        <v>0</v>
      </c>
    </row>
    <row r="21" spans="2:6" s="208" customFormat="1" ht="26.25" customHeight="1">
      <c r="B21" s="212" t="s">
        <v>1233</v>
      </c>
      <c r="C21" s="255">
        <v>1</v>
      </c>
      <c r="D21" s="229" t="s">
        <v>167</v>
      </c>
      <c r="E21" s="365"/>
      <c r="F21" s="256">
        <f>(C21*E21)</f>
        <v>0</v>
      </c>
    </row>
    <row r="22" spans="2:6" s="208" customFormat="1" ht="12.75">
      <c r="B22" s="212" t="s">
        <v>1234</v>
      </c>
      <c r="C22" s="208">
        <v>1</v>
      </c>
      <c r="D22" s="209" t="s">
        <v>167</v>
      </c>
      <c r="E22" s="210"/>
      <c r="F22" s="210"/>
    </row>
    <row r="23" spans="2:6" s="208" customFormat="1" ht="12.75">
      <c r="B23" s="212" t="s">
        <v>1235</v>
      </c>
      <c r="C23" s="208">
        <v>1</v>
      </c>
      <c r="D23" s="209" t="s">
        <v>1236</v>
      </c>
      <c r="E23" s="364"/>
      <c r="F23" s="210">
        <f>(C23*E23)</f>
        <v>0</v>
      </c>
    </row>
    <row r="24" spans="2:6" s="208" customFormat="1" ht="12.75">
      <c r="B24" s="212" t="s">
        <v>1237</v>
      </c>
      <c r="C24" s="208">
        <v>1</v>
      </c>
      <c r="D24" s="209" t="s">
        <v>167</v>
      </c>
      <c r="E24" s="364"/>
      <c r="F24" s="210">
        <f>(C24*E24)</f>
        <v>0</v>
      </c>
    </row>
    <row r="25" spans="2:6" s="208" customFormat="1" ht="12.75">
      <c r="B25" s="212" t="s">
        <v>1238</v>
      </c>
      <c r="C25" s="208">
        <v>1</v>
      </c>
      <c r="D25" s="209" t="s">
        <v>167</v>
      </c>
      <c r="E25" s="364"/>
      <c r="F25" s="210">
        <f>(C25*E25)</f>
        <v>0</v>
      </c>
    </row>
    <row r="27" ht="12.75">
      <c r="F27" s="216">
        <f>SUBTOTAL(9,F17:F26)</f>
        <v>0</v>
      </c>
    </row>
  </sheetData>
  <sheetProtection password="C0EE" sheet="1" objects="1"/>
  <printOptions/>
  <pageMargins left="0.7480314960629921" right="0.7480314960629921" top="0.984251968503937" bottom="0.984251968503937" header="0.5118110236220472" footer="0.5118110236220472"/>
  <pageSetup cellComments="atEnd" firstPageNumber="1" useFirstPageNumber="1"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view="pageBreakPreview" zoomScaleSheetLayoutView="100" zoomScalePageLayoutView="0" workbookViewId="0" topLeftCell="A106">
      <selection activeCell="D110" sqref="D110"/>
    </sheetView>
  </sheetViews>
  <sheetFormatPr defaultColWidth="11.57421875" defaultRowHeight="12.75"/>
  <cols>
    <col min="1" max="1" width="67.7109375" style="201" customWidth="1"/>
    <col min="2" max="2" width="6.8515625" style="201" customWidth="1"/>
    <col min="3" max="3" width="5.00390625" style="201" customWidth="1"/>
    <col min="4" max="4" width="11.57421875" style="254" customWidth="1"/>
    <col min="5" max="5" width="13.140625" style="254" customWidth="1"/>
    <col min="6" max="16384" width="11.57421875" style="201" customWidth="1"/>
  </cols>
  <sheetData>
    <row r="1" spans="1:5" s="2" customFormat="1" ht="18" customHeight="1">
      <c r="A1" s="234" t="s">
        <v>89</v>
      </c>
      <c r="B1" s="150"/>
      <c r="C1" s="150"/>
      <c r="D1" s="248"/>
      <c r="E1" s="248"/>
    </row>
    <row r="2" spans="1:5" s="2" customFormat="1" ht="11.25" customHeight="1">
      <c r="A2" s="236" t="s">
        <v>76</v>
      </c>
      <c r="B2" s="118" t="str">
        <f>'Krycí list'!$E$5</f>
        <v>Podkrovní byty Dr. Zikmunda Wintra 432-8</v>
      </c>
      <c r="C2" s="118"/>
      <c r="D2" s="249"/>
      <c r="E2" s="249"/>
    </row>
    <row r="3" spans="1:5" s="2" customFormat="1" ht="11.25" customHeight="1">
      <c r="A3" s="236" t="s">
        <v>77</v>
      </c>
      <c r="B3" s="118"/>
      <c r="C3" s="118" t="str">
        <f>'[2]Krycí list'!E7</f>
        <v> </v>
      </c>
      <c r="D3" s="249"/>
      <c r="E3" s="249"/>
    </row>
    <row r="4" spans="1:5" s="2" customFormat="1" ht="11.25" customHeight="1">
      <c r="A4" s="236" t="s">
        <v>78</v>
      </c>
      <c r="B4" s="118"/>
      <c r="C4" s="118" t="str">
        <f>'[2]Krycí list'!E9</f>
        <v> </v>
      </c>
      <c r="D4" s="249"/>
      <c r="E4" s="249"/>
    </row>
    <row r="5" spans="1:5" s="2" customFormat="1" ht="11.25" customHeight="1">
      <c r="A5" s="118" t="s">
        <v>90</v>
      </c>
      <c r="B5" s="118"/>
      <c r="C5" s="118" t="str">
        <f>'[2]Krycí list'!P5</f>
        <v> </v>
      </c>
      <c r="D5" s="249"/>
      <c r="E5" s="249"/>
    </row>
    <row r="6" spans="1:5" s="2" customFormat="1" ht="6" customHeight="1">
      <c r="A6" s="118"/>
      <c r="B6" s="118"/>
      <c r="C6" s="118"/>
      <c r="D6" s="249"/>
      <c r="E6" s="249"/>
    </row>
    <row r="7" spans="1:5" s="2" customFormat="1" ht="11.25" customHeight="1">
      <c r="A7" s="118" t="s">
        <v>80</v>
      </c>
      <c r="B7" s="118"/>
      <c r="C7" s="118" t="str">
        <f>'[2]Krycí list'!E26</f>
        <v> </v>
      </c>
      <c r="D7" s="249"/>
      <c r="E7" s="249"/>
    </row>
    <row r="8" spans="1:5" s="2" customFormat="1" ht="11.25" customHeight="1">
      <c r="A8" s="118" t="s">
        <v>81</v>
      </c>
      <c r="B8" s="118"/>
      <c r="C8" s="118" t="str">
        <f>'[2]Krycí list'!E28</f>
        <v> </v>
      </c>
      <c r="D8" s="249"/>
      <c r="E8" s="249"/>
    </row>
    <row r="9" spans="1:5" s="2" customFormat="1" ht="11.25" customHeight="1">
      <c r="A9" s="118" t="s">
        <v>82</v>
      </c>
      <c r="B9" s="247" t="str">
        <f>'Krycí list'!$O$31</f>
        <v>20.1.2015</v>
      </c>
      <c r="C9" s="118"/>
      <c r="D9" s="249"/>
      <c r="E9" s="249"/>
    </row>
    <row r="10" spans="1:5" s="2" customFormat="1" ht="5.25" customHeight="1">
      <c r="A10" s="150"/>
      <c r="B10" s="150"/>
      <c r="C10" s="150"/>
      <c r="D10" s="248"/>
      <c r="E10" s="248"/>
    </row>
    <row r="11" spans="1:5" s="2" customFormat="1" ht="21.75" customHeight="1">
      <c r="A11" s="123" t="s">
        <v>84</v>
      </c>
      <c r="B11" s="123" t="s">
        <v>96</v>
      </c>
      <c r="C11" s="123" t="s">
        <v>95</v>
      </c>
      <c r="D11" s="250" t="s">
        <v>97</v>
      </c>
      <c r="E11" s="250" t="s">
        <v>85</v>
      </c>
    </row>
    <row r="12" spans="1:5" s="2" customFormat="1" ht="11.25" customHeight="1">
      <c r="A12" s="126">
        <v>1</v>
      </c>
      <c r="B12" s="127">
        <v>2</v>
      </c>
      <c r="C12" s="127">
        <v>3</v>
      </c>
      <c r="D12" s="251">
        <v>4</v>
      </c>
      <c r="E12" s="251">
        <v>5</v>
      </c>
    </row>
    <row r="13" spans="1:5" s="2" customFormat="1" ht="3.75" customHeight="1">
      <c r="A13" s="150"/>
      <c r="B13" s="150"/>
      <c r="C13" s="150"/>
      <c r="D13" s="248"/>
      <c r="E13" s="248"/>
    </row>
    <row r="15" spans="1:5" ht="15">
      <c r="A15" s="202" t="s">
        <v>1166</v>
      </c>
      <c r="B15" s="199"/>
      <c r="C15" s="200"/>
      <c r="D15" s="252"/>
      <c r="E15" s="252"/>
    </row>
    <row r="16" spans="1:5" ht="42.75">
      <c r="A16" s="198" t="s">
        <v>1167</v>
      </c>
      <c r="B16" s="285">
        <v>1</v>
      </c>
      <c r="C16" s="198" t="s">
        <v>167</v>
      </c>
      <c r="D16" s="363"/>
      <c r="E16" s="253">
        <f aca="true" t="shared" si="0" ref="E16:E21">B16*D16</f>
        <v>0</v>
      </c>
    </row>
    <row r="17" spans="1:5" ht="28.5">
      <c r="A17" s="198" t="s">
        <v>1168</v>
      </c>
      <c r="B17" s="285">
        <v>1</v>
      </c>
      <c r="C17" s="198" t="s">
        <v>167</v>
      </c>
      <c r="D17" s="363"/>
      <c r="E17" s="253">
        <f t="shared" si="0"/>
        <v>0</v>
      </c>
    </row>
    <row r="18" spans="1:5" ht="14.25">
      <c r="A18" s="198" t="s">
        <v>1169</v>
      </c>
      <c r="B18" s="285">
        <v>1</v>
      </c>
      <c r="C18" s="198" t="s">
        <v>1009</v>
      </c>
      <c r="D18" s="363"/>
      <c r="E18" s="253">
        <f t="shared" si="0"/>
        <v>0</v>
      </c>
    </row>
    <row r="19" spans="1:5" ht="28.5">
      <c r="A19" s="198" t="s">
        <v>1170</v>
      </c>
      <c r="B19" s="285">
        <v>1</v>
      </c>
      <c r="C19" s="198" t="s">
        <v>1009</v>
      </c>
      <c r="D19" s="363"/>
      <c r="E19" s="253">
        <f t="shared" si="0"/>
        <v>0</v>
      </c>
    </row>
    <row r="20" spans="1:5" ht="14.25">
      <c r="A20" s="198" t="s">
        <v>1171</v>
      </c>
      <c r="B20" s="285">
        <v>1</v>
      </c>
      <c r="C20" s="198" t="s">
        <v>167</v>
      </c>
      <c r="D20" s="363"/>
      <c r="E20" s="253">
        <f t="shared" si="0"/>
        <v>0</v>
      </c>
    </row>
    <row r="21" spans="1:5" ht="28.5">
      <c r="A21" s="198" t="s">
        <v>1172</v>
      </c>
      <c r="B21" s="285">
        <v>1</v>
      </c>
      <c r="C21" s="198" t="s">
        <v>1009</v>
      </c>
      <c r="D21" s="363"/>
      <c r="E21" s="253">
        <f t="shared" si="0"/>
        <v>0</v>
      </c>
    </row>
    <row r="22" spans="1:5" ht="14.25">
      <c r="A22" s="198"/>
      <c r="B22" s="285"/>
      <c r="C22" s="198"/>
      <c r="D22" s="253"/>
      <c r="E22" s="253"/>
    </row>
    <row r="23" spans="1:5" ht="14.25">
      <c r="A23" s="198" t="s">
        <v>1173</v>
      </c>
      <c r="B23" s="285">
        <v>1</v>
      </c>
      <c r="C23" s="198" t="s">
        <v>1009</v>
      </c>
      <c r="D23" s="363"/>
      <c r="E23" s="253">
        <f>B23*D23</f>
        <v>0</v>
      </c>
    </row>
    <row r="24" spans="1:5" ht="14.25">
      <c r="A24" s="198"/>
      <c r="B24" s="285"/>
      <c r="C24" s="198"/>
      <c r="D24" s="253"/>
      <c r="E24" s="253"/>
    </row>
    <row r="25" spans="1:5" ht="14.25">
      <c r="A25" s="203" t="s">
        <v>1174</v>
      </c>
      <c r="B25" s="286"/>
      <c r="C25" s="203"/>
      <c r="D25" s="253"/>
      <c r="E25" s="253"/>
    </row>
    <row r="26" spans="1:5" ht="14.25">
      <c r="A26" s="204" t="s">
        <v>1175</v>
      </c>
      <c r="B26" s="286">
        <v>40</v>
      </c>
      <c r="C26" s="203" t="s">
        <v>1176</v>
      </c>
      <c r="D26" s="363"/>
      <c r="E26" s="253">
        <f aca="true" t="shared" si="1" ref="E26:E31">B26*D26</f>
        <v>0</v>
      </c>
    </row>
    <row r="27" spans="1:5" ht="14.25">
      <c r="A27" s="204" t="s">
        <v>1177</v>
      </c>
      <c r="B27" s="286">
        <v>132</v>
      </c>
      <c r="C27" s="203" t="s">
        <v>1176</v>
      </c>
      <c r="D27" s="363"/>
      <c r="E27" s="253">
        <f t="shared" si="1"/>
        <v>0</v>
      </c>
    </row>
    <row r="28" spans="1:5" ht="14.25">
      <c r="A28" s="204" t="s">
        <v>1178</v>
      </c>
      <c r="B28" s="286">
        <v>18</v>
      </c>
      <c r="C28" s="203" t="s">
        <v>1176</v>
      </c>
      <c r="D28" s="363"/>
      <c r="E28" s="253">
        <f t="shared" si="1"/>
        <v>0</v>
      </c>
    </row>
    <row r="29" spans="1:5" ht="14.25">
      <c r="A29" s="204" t="s">
        <v>1179</v>
      </c>
      <c r="B29" s="286">
        <v>28</v>
      </c>
      <c r="C29" s="203" t="s">
        <v>1176</v>
      </c>
      <c r="D29" s="363"/>
      <c r="E29" s="253">
        <f t="shared" si="1"/>
        <v>0</v>
      </c>
    </row>
    <row r="30" spans="1:5" ht="14.25">
      <c r="A30" s="204" t="s">
        <v>1180</v>
      </c>
      <c r="B30" s="286">
        <v>22</v>
      </c>
      <c r="C30" s="203" t="s">
        <v>1176</v>
      </c>
      <c r="D30" s="363"/>
      <c r="E30" s="253">
        <f t="shared" si="1"/>
        <v>0</v>
      </c>
    </row>
    <row r="31" spans="1:5" ht="14.25">
      <c r="A31" s="204" t="s">
        <v>1181</v>
      </c>
      <c r="B31" s="286">
        <v>14</v>
      </c>
      <c r="C31" s="203" t="s">
        <v>1176</v>
      </c>
      <c r="D31" s="363"/>
      <c r="E31" s="253">
        <f t="shared" si="1"/>
        <v>0</v>
      </c>
    </row>
    <row r="32" spans="1:5" ht="14.25">
      <c r="A32" s="204"/>
      <c r="B32" s="286"/>
      <c r="C32" s="203"/>
      <c r="D32" s="253"/>
      <c r="E32" s="253"/>
    </row>
    <row r="33" spans="1:5" ht="14.25">
      <c r="A33" s="203" t="s">
        <v>1182</v>
      </c>
      <c r="B33" s="286"/>
      <c r="C33" s="203"/>
      <c r="D33" s="253"/>
      <c r="E33" s="253"/>
    </row>
    <row r="34" spans="1:5" ht="14.25">
      <c r="A34" s="204" t="s">
        <v>1183</v>
      </c>
      <c r="B34" s="286">
        <v>40</v>
      </c>
      <c r="C34" s="203" t="s">
        <v>1176</v>
      </c>
      <c r="D34" s="363"/>
      <c r="E34" s="253">
        <f>B34*D34</f>
        <v>0</v>
      </c>
    </row>
    <row r="35" spans="1:5" ht="14.25">
      <c r="A35" s="204" t="s">
        <v>1184</v>
      </c>
      <c r="B35" s="286">
        <v>132</v>
      </c>
      <c r="C35" s="203" t="s">
        <v>1176</v>
      </c>
      <c r="D35" s="363"/>
      <c r="E35" s="253">
        <f>B35*D35</f>
        <v>0</v>
      </c>
    </row>
    <row r="36" spans="1:5" ht="14.25">
      <c r="A36" s="204" t="s">
        <v>1185</v>
      </c>
      <c r="B36" s="286">
        <v>18</v>
      </c>
      <c r="C36" s="203" t="s">
        <v>1176</v>
      </c>
      <c r="D36" s="363"/>
      <c r="E36" s="253">
        <f>B36*D36</f>
        <v>0</v>
      </c>
    </row>
    <row r="37" spans="1:5" ht="14.25">
      <c r="A37" s="204" t="s">
        <v>1186</v>
      </c>
      <c r="B37" s="286">
        <v>28</v>
      </c>
      <c r="C37" s="203" t="s">
        <v>1176</v>
      </c>
      <c r="D37" s="363"/>
      <c r="E37" s="253">
        <f>B37*D37</f>
        <v>0</v>
      </c>
    </row>
    <row r="38" spans="1:5" ht="14.25">
      <c r="A38" s="204"/>
      <c r="B38" s="286"/>
      <c r="C38" s="203"/>
      <c r="D38" s="253"/>
      <c r="E38" s="253"/>
    </row>
    <row r="39" spans="1:5" ht="14.25">
      <c r="A39" s="204" t="s">
        <v>1187</v>
      </c>
      <c r="B39" s="286"/>
      <c r="C39" s="203"/>
      <c r="D39" s="253"/>
      <c r="E39" s="253"/>
    </row>
    <row r="40" spans="1:5" ht="14.25">
      <c r="A40" s="204" t="s">
        <v>1188</v>
      </c>
      <c r="B40" s="286">
        <v>22</v>
      </c>
      <c r="C40" s="203" t="s">
        <v>1176</v>
      </c>
      <c r="D40" s="363"/>
      <c r="E40" s="253">
        <f>B40*D40</f>
        <v>0</v>
      </c>
    </row>
    <row r="41" spans="1:5" ht="14.25">
      <c r="A41" s="204" t="s">
        <v>1189</v>
      </c>
      <c r="B41" s="286">
        <v>14</v>
      </c>
      <c r="C41" s="203" t="s">
        <v>1176</v>
      </c>
      <c r="D41" s="363"/>
      <c r="E41" s="253">
        <f>B41*D41</f>
        <v>0</v>
      </c>
    </row>
    <row r="42" spans="1:5" ht="14.25">
      <c r="A42" s="204"/>
      <c r="B42" s="286"/>
      <c r="C42" s="203"/>
      <c r="D42" s="253"/>
      <c r="E42" s="253"/>
    </row>
    <row r="43" spans="1:5" ht="14.25">
      <c r="A43" s="204" t="s">
        <v>1190</v>
      </c>
      <c r="B43" s="286"/>
      <c r="C43" s="203"/>
      <c r="D43" s="253"/>
      <c r="E43" s="253"/>
    </row>
    <row r="44" spans="1:5" ht="14.25">
      <c r="A44" s="204" t="s">
        <v>1191</v>
      </c>
      <c r="B44" s="286">
        <v>6</v>
      </c>
      <c r="C44" s="203" t="s">
        <v>1176</v>
      </c>
      <c r="D44" s="363"/>
      <c r="E44" s="253">
        <f>B44*D44</f>
        <v>0</v>
      </c>
    </row>
    <row r="45" spans="1:5" ht="14.25">
      <c r="A45" s="204"/>
      <c r="B45" s="286"/>
      <c r="C45" s="203"/>
      <c r="D45" s="253"/>
      <c r="E45" s="253"/>
    </row>
    <row r="46" spans="1:5" ht="14.25">
      <c r="A46" s="203" t="s">
        <v>1192</v>
      </c>
      <c r="B46" s="286"/>
      <c r="C46" s="203"/>
      <c r="D46" s="253"/>
      <c r="E46" s="253"/>
    </row>
    <row r="47" spans="1:5" ht="14.25">
      <c r="A47" s="203" t="s">
        <v>1193</v>
      </c>
      <c r="B47" s="286">
        <v>1</v>
      </c>
      <c r="C47" s="203" t="s">
        <v>1009</v>
      </c>
      <c r="D47" s="363"/>
      <c r="E47" s="253">
        <f>B47*D47</f>
        <v>0</v>
      </c>
    </row>
    <row r="48" spans="1:5" ht="14.25">
      <c r="A48" s="203" t="s">
        <v>1194</v>
      </c>
      <c r="B48" s="286">
        <v>2</v>
      </c>
      <c r="C48" s="203" t="s">
        <v>1009</v>
      </c>
      <c r="D48" s="363"/>
      <c r="E48" s="253">
        <f>B48*D48</f>
        <v>0</v>
      </c>
    </row>
    <row r="49" spans="1:5" ht="14.25">
      <c r="A49" s="203" t="s">
        <v>1195</v>
      </c>
      <c r="B49" s="286">
        <v>8</v>
      </c>
      <c r="C49" s="203" t="s">
        <v>1009</v>
      </c>
      <c r="D49" s="363"/>
      <c r="E49" s="253">
        <f>B49*D49</f>
        <v>0</v>
      </c>
    </row>
    <row r="50" spans="1:5" ht="14.25">
      <c r="A50" s="203" t="s">
        <v>1196</v>
      </c>
      <c r="B50" s="286">
        <v>4</v>
      </c>
      <c r="C50" s="203" t="s">
        <v>1009</v>
      </c>
      <c r="D50" s="363"/>
      <c r="E50" s="253">
        <f>B50*D50</f>
        <v>0</v>
      </c>
    </row>
    <row r="51" spans="1:5" ht="14.25">
      <c r="A51" s="203"/>
      <c r="B51" s="286"/>
      <c r="C51" s="203"/>
      <c r="D51" s="253"/>
      <c r="E51" s="253"/>
    </row>
    <row r="52" spans="1:5" ht="14.25">
      <c r="A52" s="203" t="s">
        <v>1197</v>
      </c>
      <c r="B52" s="286"/>
      <c r="C52" s="203"/>
      <c r="D52" s="253"/>
      <c r="E52" s="253"/>
    </row>
    <row r="53" spans="1:5" ht="14.25">
      <c r="A53" s="203" t="s">
        <v>1194</v>
      </c>
      <c r="B53" s="286">
        <v>1</v>
      </c>
      <c r="C53" s="203" t="s">
        <v>1009</v>
      </c>
      <c r="D53" s="363"/>
      <c r="E53" s="253">
        <f>B53*D53</f>
        <v>0</v>
      </c>
    </row>
    <row r="54" spans="1:5" ht="14.25">
      <c r="A54" s="203" t="s">
        <v>1195</v>
      </c>
      <c r="B54" s="286">
        <v>2</v>
      </c>
      <c r="C54" s="203" t="s">
        <v>1009</v>
      </c>
      <c r="D54" s="363"/>
      <c r="E54" s="253">
        <f>B54*D54</f>
        <v>0</v>
      </c>
    </row>
    <row r="55" spans="1:5" ht="14.25">
      <c r="A55" s="203" t="s">
        <v>1196</v>
      </c>
      <c r="B55" s="286">
        <v>1</v>
      </c>
      <c r="C55" s="203" t="s">
        <v>1009</v>
      </c>
      <c r="D55" s="363"/>
      <c r="E55" s="253">
        <f>B55*D55</f>
        <v>0</v>
      </c>
    </row>
    <row r="56" spans="1:5" ht="14.25">
      <c r="A56" s="203"/>
      <c r="B56" s="286"/>
      <c r="C56" s="203"/>
      <c r="D56" s="253"/>
      <c r="E56" s="253"/>
    </row>
    <row r="57" spans="1:5" ht="14.25">
      <c r="A57" s="203" t="s">
        <v>1198</v>
      </c>
      <c r="B57" s="286"/>
      <c r="C57" s="203"/>
      <c r="D57" s="253"/>
      <c r="E57" s="253"/>
    </row>
    <row r="58" spans="1:5" ht="14.25">
      <c r="A58" s="203" t="s">
        <v>1194</v>
      </c>
      <c r="B58" s="286">
        <v>1</v>
      </c>
      <c r="C58" s="203" t="s">
        <v>1009</v>
      </c>
      <c r="D58" s="363"/>
      <c r="E58" s="253">
        <f>B58*D58</f>
        <v>0</v>
      </c>
    </row>
    <row r="59" spans="1:5" ht="14.25">
      <c r="A59" s="203" t="s">
        <v>1195</v>
      </c>
      <c r="B59" s="286">
        <v>1</v>
      </c>
      <c r="C59" s="203" t="s">
        <v>1009</v>
      </c>
      <c r="D59" s="363"/>
      <c r="E59" s="253">
        <f>B59*D59</f>
        <v>0</v>
      </c>
    </row>
    <row r="60" spans="1:5" ht="14.25">
      <c r="A60" s="203" t="s">
        <v>1196</v>
      </c>
      <c r="B60" s="286">
        <v>2</v>
      </c>
      <c r="C60" s="203" t="s">
        <v>1009</v>
      </c>
      <c r="D60" s="363"/>
      <c r="E60" s="253">
        <f>B60*D60</f>
        <v>0</v>
      </c>
    </row>
    <row r="61" spans="1:5" ht="14.25">
      <c r="A61" s="203"/>
      <c r="B61" s="286"/>
      <c r="C61" s="203"/>
      <c r="D61" s="253"/>
      <c r="E61" s="253"/>
    </row>
    <row r="62" spans="1:5" ht="14.25">
      <c r="A62" s="203" t="s">
        <v>1199</v>
      </c>
      <c r="B62" s="286">
        <v>2</v>
      </c>
      <c r="C62" s="203" t="s">
        <v>1009</v>
      </c>
      <c r="D62" s="363"/>
      <c r="E62" s="253">
        <f>B62*D62</f>
        <v>0</v>
      </c>
    </row>
    <row r="63" spans="1:5" ht="14.25">
      <c r="A63" s="203"/>
      <c r="B63" s="286"/>
      <c r="C63" s="203"/>
      <c r="D63" s="253"/>
      <c r="E63" s="253"/>
    </row>
    <row r="64" spans="1:5" ht="14.25">
      <c r="A64" s="203" t="s">
        <v>1200</v>
      </c>
      <c r="B64" s="286">
        <v>5</v>
      </c>
      <c r="C64" s="203" t="s">
        <v>1009</v>
      </c>
      <c r="D64" s="363"/>
      <c r="E64" s="253">
        <f>B64*D64</f>
        <v>0</v>
      </c>
    </row>
    <row r="65" spans="1:5" ht="14.25">
      <c r="A65" s="203"/>
      <c r="B65" s="286"/>
      <c r="C65" s="203"/>
      <c r="D65" s="253"/>
      <c r="E65" s="253"/>
    </row>
    <row r="66" spans="1:5" ht="14.25">
      <c r="A66" s="205" t="s">
        <v>1201</v>
      </c>
      <c r="B66" s="286">
        <v>2</v>
      </c>
      <c r="C66" s="203" t="s">
        <v>1009</v>
      </c>
      <c r="D66" s="363"/>
      <c r="E66" s="253">
        <f>B66*D66</f>
        <v>0</v>
      </c>
    </row>
    <row r="67" spans="1:5" ht="14.25">
      <c r="A67" s="205"/>
      <c r="B67" s="286"/>
      <c r="C67" s="203"/>
      <c r="D67" s="253"/>
      <c r="E67" s="253"/>
    </row>
    <row r="68" spans="1:5" ht="14.25">
      <c r="A68" s="205" t="s">
        <v>1202</v>
      </c>
      <c r="B68" s="286">
        <v>1</v>
      </c>
      <c r="C68" s="203" t="s">
        <v>1009</v>
      </c>
      <c r="D68" s="363"/>
      <c r="E68" s="253">
        <f>B68*D68</f>
        <v>0</v>
      </c>
    </row>
    <row r="69" spans="1:5" ht="14.25">
      <c r="A69" s="204"/>
      <c r="B69" s="203"/>
      <c r="C69" s="203"/>
      <c r="D69" s="253"/>
      <c r="E69" s="253"/>
    </row>
    <row r="70" spans="1:5" ht="15">
      <c r="A70" s="206" t="s">
        <v>1203</v>
      </c>
      <c r="B70" s="203"/>
      <c r="C70" s="203"/>
      <c r="D70" s="253"/>
      <c r="E70" s="253"/>
    </row>
    <row r="71" spans="1:5" ht="14.25">
      <c r="A71" s="205" t="s">
        <v>1204</v>
      </c>
      <c r="B71" s="203">
        <v>9</v>
      </c>
      <c r="C71" s="203" t="s">
        <v>1009</v>
      </c>
      <c r="D71" s="363"/>
      <c r="E71" s="253">
        <f>B71*D71</f>
        <v>0</v>
      </c>
    </row>
    <row r="72" spans="1:5" ht="14.25">
      <c r="A72" s="205" t="s">
        <v>1205</v>
      </c>
      <c r="B72" s="203">
        <v>9</v>
      </c>
      <c r="C72" s="203" t="s">
        <v>1009</v>
      </c>
      <c r="D72" s="363"/>
      <c r="E72" s="253">
        <f>B72*D72</f>
        <v>0</v>
      </c>
    </row>
    <row r="73" spans="1:5" ht="28.5">
      <c r="A73" s="205" t="s">
        <v>1206</v>
      </c>
      <c r="B73" s="203">
        <v>2</v>
      </c>
      <c r="C73" s="203" t="s">
        <v>1009</v>
      </c>
      <c r="D73" s="363"/>
      <c r="E73" s="253">
        <f>B73*D73</f>
        <v>0</v>
      </c>
    </row>
    <row r="74" spans="1:5" ht="14.25">
      <c r="A74" s="205" t="s">
        <v>1207</v>
      </c>
      <c r="B74" s="203">
        <v>11</v>
      </c>
      <c r="C74" s="203" t="s">
        <v>1009</v>
      </c>
      <c r="D74" s="363"/>
      <c r="E74" s="253">
        <f>B74*D74</f>
        <v>0</v>
      </c>
    </row>
    <row r="75" spans="1:5" ht="14.25">
      <c r="A75" s="205"/>
      <c r="B75" s="203"/>
      <c r="C75" s="203"/>
      <c r="D75" s="253"/>
      <c r="E75" s="253"/>
    </row>
    <row r="76" spans="1:5" ht="15">
      <c r="A76" s="206" t="s">
        <v>1208</v>
      </c>
      <c r="B76" s="203"/>
      <c r="C76" s="203"/>
      <c r="D76" s="253"/>
      <c r="E76" s="253"/>
    </row>
    <row r="77" spans="1:5" ht="14.25">
      <c r="A77" s="203" t="s">
        <v>1209</v>
      </c>
      <c r="B77" s="203"/>
      <c r="C77" s="203"/>
      <c r="D77" s="253"/>
      <c r="E77" s="253"/>
    </row>
    <row r="78" spans="1:5" ht="14.25">
      <c r="A78" s="203" t="s">
        <v>1210</v>
      </c>
      <c r="B78" s="203">
        <v>2</v>
      </c>
      <c r="C78" s="203" t="s">
        <v>1009</v>
      </c>
      <c r="D78" s="363"/>
      <c r="E78" s="253">
        <f>B78*D78</f>
        <v>0</v>
      </c>
    </row>
    <row r="79" spans="1:5" ht="15">
      <c r="A79" s="206"/>
      <c r="B79" s="203"/>
      <c r="C79" s="203"/>
      <c r="D79" s="253"/>
      <c r="E79" s="253"/>
    </row>
    <row r="80" spans="1:5" ht="14.25">
      <c r="A80" s="203" t="s">
        <v>1211</v>
      </c>
      <c r="B80" s="203"/>
      <c r="C80" s="203"/>
      <c r="D80" s="253"/>
      <c r="E80" s="253"/>
    </row>
    <row r="81" spans="1:5" ht="14.25">
      <c r="A81" s="203" t="s">
        <v>1212</v>
      </c>
      <c r="B81" s="203"/>
      <c r="C81" s="203"/>
      <c r="D81" s="253"/>
      <c r="E81" s="253"/>
    </row>
    <row r="82" spans="1:5" ht="14.25">
      <c r="A82" s="203" t="s">
        <v>1213</v>
      </c>
      <c r="B82" s="287">
        <v>2</v>
      </c>
      <c r="C82" s="203" t="s">
        <v>1009</v>
      </c>
      <c r="D82" s="363"/>
      <c r="E82" s="253">
        <f>B82*D82</f>
        <v>0</v>
      </c>
    </row>
    <row r="83" spans="1:5" ht="14.25">
      <c r="A83" s="203"/>
      <c r="B83" s="287"/>
      <c r="C83" s="203"/>
      <c r="D83" s="253"/>
      <c r="E83" s="253"/>
    </row>
    <row r="84" spans="1:5" ht="14.25">
      <c r="A84" s="286" t="s">
        <v>1211</v>
      </c>
      <c r="B84" s="287"/>
      <c r="C84" s="203"/>
      <c r="D84" s="253"/>
      <c r="E84" s="253"/>
    </row>
    <row r="85" spans="1:5" ht="14.25">
      <c r="A85" s="286" t="s">
        <v>1216</v>
      </c>
      <c r="B85" s="287"/>
      <c r="C85" s="203"/>
      <c r="D85" s="253"/>
      <c r="E85" s="253"/>
    </row>
    <row r="86" spans="1:5" ht="14.25">
      <c r="A86" s="286" t="s">
        <v>1214</v>
      </c>
      <c r="B86" s="287">
        <v>2</v>
      </c>
      <c r="C86" s="203" t="s">
        <v>1009</v>
      </c>
      <c r="D86" s="363"/>
      <c r="E86" s="253">
        <f>B86*D86</f>
        <v>0</v>
      </c>
    </row>
    <row r="87" spans="1:5" ht="14.25">
      <c r="A87" s="286"/>
      <c r="B87" s="287"/>
      <c r="C87" s="203"/>
      <c r="D87" s="253"/>
      <c r="E87" s="253"/>
    </row>
    <row r="88" spans="1:5" ht="14.25">
      <c r="A88" s="286" t="s">
        <v>1489</v>
      </c>
      <c r="B88" s="287"/>
      <c r="C88" s="203"/>
      <c r="D88" s="253"/>
      <c r="E88" s="253"/>
    </row>
    <row r="89" spans="1:5" ht="14.25">
      <c r="A89" s="286" t="s">
        <v>1216</v>
      </c>
      <c r="B89" s="287"/>
      <c r="C89" s="203"/>
      <c r="D89" s="253"/>
      <c r="E89" s="253"/>
    </row>
    <row r="90" spans="1:5" ht="14.25">
      <c r="A90" s="286" t="s">
        <v>1214</v>
      </c>
      <c r="B90" s="287">
        <v>2</v>
      </c>
      <c r="C90" s="203" t="s">
        <v>1009</v>
      </c>
      <c r="D90" s="363"/>
      <c r="E90" s="253">
        <f>B90*D90</f>
        <v>0</v>
      </c>
    </row>
    <row r="91" spans="1:5" ht="14.25">
      <c r="A91" s="203"/>
      <c r="B91" s="287"/>
      <c r="C91" s="203"/>
      <c r="D91" s="253"/>
      <c r="E91" s="253"/>
    </row>
    <row r="92" spans="1:5" ht="14.25">
      <c r="A92" s="203" t="s">
        <v>1211</v>
      </c>
      <c r="B92" s="287"/>
      <c r="C92" s="203"/>
      <c r="D92" s="253"/>
      <c r="E92" s="253"/>
    </row>
    <row r="93" spans="1:5" ht="14.25">
      <c r="A93" s="203" t="s">
        <v>1218</v>
      </c>
      <c r="B93" s="287"/>
      <c r="C93" s="203"/>
      <c r="D93" s="253"/>
      <c r="E93" s="253"/>
    </row>
    <row r="94" spans="1:5" ht="14.25">
      <c r="A94" s="203" t="s">
        <v>1217</v>
      </c>
      <c r="B94" s="287">
        <v>2</v>
      </c>
      <c r="C94" s="203" t="s">
        <v>1009</v>
      </c>
      <c r="D94" s="363"/>
      <c r="E94" s="253">
        <f>B94*D94</f>
        <v>0</v>
      </c>
    </row>
    <row r="95" spans="1:5" ht="14.25">
      <c r="A95" s="203"/>
      <c r="B95" s="287"/>
      <c r="C95" s="203"/>
      <c r="D95" s="253"/>
      <c r="E95" s="253"/>
    </row>
    <row r="96" spans="1:5" ht="14.25">
      <c r="A96" s="203" t="s">
        <v>1215</v>
      </c>
      <c r="B96" s="287"/>
      <c r="C96" s="203"/>
      <c r="D96" s="253"/>
      <c r="E96" s="253"/>
    </row>
    <row r="97" spans="1:5" ht="14.25">
      <c r="A97" s="203" t="s">
        <v>1218</v>
      </c>
      <c r="B97" s="287"/>
      <c r="C97" s="203"/>
      <c r="D97" s="253"/>
      <c r="E97" s="253"/>
    </row>
    <row r="98" spans="1:5" ht="14.25">
      <c r="A98" s="203" t="s">
        <v>1219</v>
      </c>
      <c r="B98" s="287">
        <v>1</v>
      </c>
      <c r="C98" s="203" t="s">
        <v>1009</v>
      </c>
      <c r="D98" s="363"/>
      <c r="E98" s="253">
        <f>B98*D98</f>
        <v>0</v>
      </c>
    </row>
    <row r="99" spans="1:5" ht="14.25">
      <c r="A99" s="203"/>
      <c r="B99" s="287"/>
      <c r="C99" s="203"/>
      <c r="D99" s="253"/>
      <c r="E99" s="253"/>
    </row>
    <row r="100" spans="1:5" ht="14.25">
      <c r="A100" s="203"/>
      <c r="B100" s="203"/>
      <c r="C100" s="203"/>
      <c r="D100" s="253"/>
      <c r="E100" s="253"/>
    </row>
    <row r="101" spans="1:5" ht="15">
      <c r="A101" s="206" t="s">
        <v>1220</v>
      </c>
      <c r="B101" s="203"/>
      <c r="C101" s="203"/>
      <c r="D101" s="253"/>
      <c r="E101" s="253"/>
    </row>
    <row r="102" spans="1:5" ht="14.25">
      <c r="A102" s="203" t="s">
        <v>1221</v>
      </c>
      <c r="B102" s="203">
        <v>4</v>
      </c>
      <c r="C102" s="203" t="s">
        <v>1009</v>
      </c>
      <c r="D102" s="363"/>
      <c r="E102" s="253">
        <f>B102*D102</f>
        <v>0</v>
      </c>
    </row>
    <row r="103" spans="1:5" ht="14.25">
      <c r="A103" s="203" t="s">
        <v>1222</v>
      </c>
      <c r="B103" s="203">
        <v>1</v>
      </c>
      <c r="C103" s="203" t="s">
        <v>1009</v>
      </c>
      <c r="D103" s="363"/>
      <c r="E103" s="253">
        <f>B103*D103</f>
        <v>0</v>
      </c>
    </row>
    <row r="104" spans="1:5" ht="14.25">
      <c r="A104" s="203"/>
      <c r="B104" s="203"/>
      <c r="C104" s="203"/>
      <c r="D104" s="253"/>
      <c r="E104" s="253"/>
    </row>
    <row r="105" spans="1:5" ht="14.25">
      <c r="A105" s="203" t="s">
        <v>1223</v>
      </c>
      <c r="B105" s="203">
        <v>10</v>
      </c>
      <c r="C105" s="203" t="s">
        <v>1176</v>
      </c>
      <c r="D105" s="363"/>
      <c r="E105" s="253">
        <f>B105*D105</f>
        <v>0</v>
      </c>
    </row>
    <row r="106" spans="1:5" ht="14.25">
      <c r="A106" s="203" t="s">
        <v>1224</v>
      </c>
      <c r="B106" s="203">
        <v>6</v>
      </c>
      <c r="C106" s="203" t="s">
        <v>1009</v>
      </c>
      <c r="D106" s="363"/>
      <c r="E106" s="253">
        <f>B106*D106</f>
        <v>0</v>
      </c>
    </row>
    <row r="107" spans="1:5" ht="14.25">
      <c r="A107" s="203"/>
      <c r="B107" s="203"/>
      <c r="C107" s="203"/>
      <c r="D107" s="253"/>
      <c r="E107" s="253"/>
    </row>
    <row r="108" spans="1:5" ht="14.25">
      <c r="A108" s="203" t="s">
        <v>1225</v>
      </c>
      <c r="B108" s="203">
        <v>1</v>
      </c>
      <c r="C108" s="203" t="s">
        <v>167</v>
      </c>
      <c r="D108" s="363"/>
      <c r="E108" s="253">
        <f>B108*D108</f>
        <v>0</v>
      </c>
    </row>
    <row r="109" spans="1:5" ht="14.25">
      <c r="A109" s="203"/>
      <c r="B109" s="203"/>
      <c r="C109" s="203"/>
      <c r="D109" s="253"/>
      <c r="E109" s="253"/>
    </row>
    <row r="110" spans="1:5" ht="28.5">
      <c r="A110" s="205" t="s">
        <v>1226</v>
      </c>
      <c r="B110" s="203">
        <v>1</v>
      </c>
      <c r="C110" s="203" t="s">
        <v>167</v>
      </c>
      <c r="D110" s="363"/>
      <c r="E110" s="253">
        <f>B110*D110</f>
        <v>0</v>
      </c>
    </row>
    <row r="111" spans="1:5" ht="14.25">
      <c r="A111" s="205"/>
      <c r="B111" s="203"/>
      <c r="C111" s="203"/>
      <c r="D111" s="253"/>
      <c r="E111" s="253"/>
    </row>
    <row r="112" spans="1:5" ht="14.25">
      <c r="A112" s="203"/>
      <c r="B112" s="203"/>
      <c r="C112" s="203"/>
      <c r="D112" s="253"/>
      <c r="E112" s="253"/>
    </row>
    <row r="113" spans="1:5" ht="14.25">
      <c r="A113" s="203" t="s">
        <v>1227</v>
      </c>
      <c r="B113" s="203"/>
      <c r="C113" s="203"/>
      <c r="D113" s="253"/>
      <c r="E113" s="253">
        <f>SUM(E16:E110)</f>
        <v>0</v>
      </c>
    </row>
    <row r="114" spans="1:5" ht="14.25">
      <c r="A114" s="203"/>
      <c r="B114" s="203"/>
      <c r="C114" s="203"/>
      <c r="D114" s="253"/>
      <c r="E114" s="253"/>
    </row>
  </sheetData>
  <sheetProtection password="C0EE" sheet="1" objects="1"/>
  <printOptions horizontalCentered="1"/>
  <pageMargins left="0.5905511811023623" right="0.5905511811023623" top="0.8661417322834646" bottom="0.8661417322834646" header="0.7874015748031497" footer="0.7874015748031497"/>
  <pageSetup fitToHeight="2" fitToWidth="1" horizontalDpi="300" verticalDpi="300" orientation="portrait" paperSize="9" scale="75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102"/>
  <sheetViews>
    <sheetView view="pageBreakPreview" zoomScale="75" zoomScaleNormal="75" zoomScaleSheetLayoutView="75" zoomScalePageLayoutView="0" workbookViewId="0" topLeftCell="A1">
      <selection activeCell="I24" sqref="I24"/>
    </sheetView>
  </sheetViews>
  <sheetFormatPr defaultColWidth="9.140625" defaultRowHeight="12.75" customHeight="1"/>
  <cols>
    <col min="1" max="1" width="7.7109375" style="194" customWidth="1"/>
    <col min="2" max="2" width="56.8515625" style="194" customWidth="1"/>
    <col min="3" max="3" width="13.140625" style="195" customWidth="1"/>
    <col min="4" max="4" width="12.00390625" style="194" hidden="1" customWidth="1"/>
    <col min="5" max="5" width="11.57421875" style="194" hidden="1" customWidth="1"/>
    <col min="6" max="6" width="7.7109375" style="194" customWidth="1"/>
    <col min="7" max="7" width="12.00390625" style="194" customWidth="1"/>
    <col min="8" max="8" width="11.140625" style="242" customWidth="1"/>
    <col min="9" max="9" width="16.140625" style="242" customWidth="1"/>
    <col min="10" max="10" width="15.140625" style="242" customWidth="1"/>
    <col min="11" max="253" width="9.140625" style="194" customWidth="1"/>
    <col min="254" max="16384" width="9.140625" style="196" customWidth="1"/>
  </cols>
  <sheetData>
    <row r="1" spans="1:10" s="2" customFormat="1" ht="18" customHeight="1">
      <c r="A1" s="234" t="s">
        <v>89</v>
      </c>
      <c r="B1" s="150"/>
      <c r="C1" s="150"/>
      <c r="D1" s="150"/>
      <c r="E1" s="150"/>
      <c r="F1" s="150"/>
      <c r="G1" s="150"/>
      <c r="H1" s="235"/>
      <c r="I1" s="235"/>
      <c r="J1" s="235"/>
    </row>
    <row r="2" spans="1:10" s="2" customFormat="1" ht="11.25" customHeight="1">
      <c r="A2" s="236" t="s">
        <v>76</v>
      </c>
      <c r="B2" s="241" t="str">
        <f>'Krycí list'!$E$5</f>
        <v>Podkrovní byty Dr. Zikmunda Wintra 432-8</v>
      </c>
      <c r="C2" s="118"/>
      <c r="D2" s="118"/>
      <c r="E2" s="118"/>
      <c r="F2" s="118"/>
      <c r="G2" s="118"/>
      <c r="H2" s="238"/>
      <c r="I2" s="238"/>
      <c r="J2" s="238"/>
    </row>
    <row r="3" spans="1:10" s="2" customFormat="1" ht="11.25" customHeight="1">
      <c r="A3" s="236" t="s">
        <v>77</v>
      </c>
      <c r="B3" s="118"/>
      <c r="C3" s="118" t="str">
        <f>'[2]Krycí list'!E7</f>
        <v> </v>
      </c>
      <c r="D3" s="118"/>
      <c r="E3" s="118"/>
      <c r="F3" s="118"/>
      <c r="G3" s="118"/>
      <c r="H3" s="238"/>
      <c r="I3" s="238"/>
      <c r="J3" s="238"/>
    </row>
    <row r="4" spans="1:10" s="2" customFormat="1" ht="11.25" customHeight="1">
      <c r="A4" s="236" t="s">
        <v>78</v>
      </c>
      <c r="B4" s="118"/>
      <c r="C4" s="118" t="str">
        <f>'[2]Krycí list'!E9</f>
        <v> </v>
      </c>
      <c r="D4" s="118"/>
      <c r="E4" s="118"/>
      <c r="F4" s="118"/>
      <c r="G4" s="118"/>
      <c r="H4" s="238"/>
      <c r="I4" s="238"/>
      <c r="J4" s="238"/>
    </row>
    <row r="5" spans="1:10" s="2" customFormat="1" ht="11.25" customHeight="1">
      <c r="A5" s="118" t="s">
        <v>90</v>
      </c>
      <c r="B5" s="118"/>
      <c r="C5" s="118" t="str">
        <f>'[2]Krycí list'!P5</f>
        <v> </v>
      </c>
      <c r="D5" s="118"/>
      <c r="E5" s="118"/>
      <c r="F5" s="118"/>
      <c r="G5" s="118"/>
      <c r="H5" s="238"/>
      <c r="I5" s="238"/>
      <c r="J5" s="238"/>
    </row>
    <row r="6" spans="1:10" s="2" customFormat="1" ht="6" customHeight="1">
      <c r="A6" s="118"/>
      <c r="B6" s="118"/>
      <c r="C6" s="118"/>
      <c r="D6" s="118"/>
      <c r="E6" s="118"/>
      <c r="F6" s="118"/>
      <c r="G6" s="118"/>
      <c r="H6" s="238"/>
      <c r="I6" s="238"/>
      <c r="J6" s="238"/>
    </row>
    <row r="7" spans="1:10" s="2" customFormat="1" ht="11.25" customHeight="1">
      <c r="A7" s="118" t="s">
        <v>80</v>
      </c>
      <c r="B7" s="118"/>
      <c r="C7" s="118" t="str">
        <f>'[2]Krycí list'!E26</f>
        <v> </v>
      </c>
      <c r="D7" s="118"/>
      <c r="E7" s="118"/>
      <c r="F7" s="118"/>
      <c r="G7" s="118"/>
      <c r="H7" s="238"/>
      <c r="I7" s="238"/>
      <c r="J7" s="238"/>
    </row>
    <row r="8" spans="1:10" s="2" customFormat="1" ht="11.25" customHeight="1">
      <c r="A8" s="118" t="s">
        <v>81</v>
      </c>
      <c r="B8" s="118"/>
      <c r="C8" s="118" t="str">
        <f>'[2]Krycí list'!E28</f>
        <v> </v>
      </c>
      <c r="D8" s="118"/>
      <c r="E8" s="118"/>
      <c r="F8" s="118"/>
      <c r="G8" s="118"/>
      <c r="H8" s="238"/>
      <c r="I8" s="238"/>
      <c r="J8" s="238"/>
    </row>
    <row r="9" spans="1:10" s="2" customFormat="1" ht="11.25" customHeight="1">
      <c r="A9" s="118" t="s">
        <v>82</v>
      </c>
      <c r="B9" s="247" t="str">
        <f>'Krycí list'!$O$31</f>
        <v>20.1.2015</v>
      </c>
      <c r="C9" s="118"/>
      <c r="D9" s="118"/>
      <c r="E9" s="118"/>
      <c r="F9" s="118"/>
      <c r="G9" s="118"/>
      <c r="H9" s="238"/>
      <c r="I9" s="238"/>
      <c r="J9" s="238"/>
    </row>
    <row r="10" spans="1:10" s="2" customFormat="1" ht="5.25" customHeight="1">
      <c r="A10" s="150"/>
      <c r="B10" s="150"/>
      <c r="C10" s="150"/>
      <c r="D10" s="150"/>
      <c r="E10" s="150"/>
      <c r="F10" s="150"/>
      <c r="G10" s="150"/>
      <c r="H10" s="235"/>
      <c r="I10" s="235"/>
      <c r="J10" s="235"/>
    </row>
    <row r="11" spans="1:10" s="2" customFormat="1" ht="21.75" customHeight="1">
      <c r="A11" s="122" t="s">
        <v>91</v>
      </c>
      <c r="B11" s="123" t="s">
        <v>995</v>
      </c>
      <c r="C11" s="239" t="s">
        <v>1295</v>
      </c>
      <c r="D11" s="239" t="s">
        <v>996</v>
      </c>
      <c r="E11" s="239" t="s">
        <v>997</v>
      </c>
      <c r="F11" s="123" t="s">
        <v>95</v>
      </c>
      <c r="G11" s="239" t="s">
        <v>998</v>
      </c>
      <c r="H11" s="240" t="s">
        <v>999</v>
      </c>
      <c r="I11" s="240" t="s">
        <v>1000</v>
      </c>
      <c r="J11" s="240" t="s">
        <v>1296</v>
      </c>
    </row>
    <row r="12" spans="1:10" s="2" customFormat="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</row>
    <row r="13" spans="1:10" ht="12.75" customHeight="1">
      <c r="A13" s="336"/>
      <c r="B13" s="336"/>
      <c r="C13" s="342"/>
      <c r="D13" s="336"/>
      <c r="E13" s="336"/>
      <c r="F13" s="336"/>
      <c r="G13" s="336"/>
      <c r="H13" s="337"/>
      <c r="I13" s="337"/>
      <c r="J13" s="337"/>
    </row>
    <row r="14" spans="1:15" s="188" customFormat="1" ht="19.5" customHeight="1">
      <c r="A14" s="312"/>
      <c r="B14" s="313" t="s">
        <v>1001</v>
      </c>
      <c r="C14" s="343"/>
      <c r="D14" s="312"/>
      <c r="E14" s="344"/>
      <c r="F14" s="312"/>
      <c r="G14" s="312"/>
      <c r="H14" s="317"/>
      <c r="I14" s="317"/>
      <c r="J14" s="317">
        <f>J15+J19+J37+J46+J68+J71+J76</f>
        <v>0</v>
      </c>
      <c r="L14" s="288"/>
      <c r="M14" s="288"/>
      <c r="N14" s="288"/>
      <c r="O14" s="288"/>
    </row>
    <row r="15" spans="1:15" s="189" customFormat="1" ht="19.5" customHeight="1">
      <c r="A15" s="345">
        <v>1</v>
      </c>
      <c r="B15" s="346" t="s">
        <v>1002</v>
      </c>
      <c r="C15" s="347"/>
      <c r="D15" s="348"/>
      <c r="E15" s="346"/>
      <c r="F15" s="346"/>
      <c r="G15" s="345"/>
      <c r="H15" s="349"/>
      <c r="I15" s="349" t="s">
        <v>1003</v>
      </c>
      <c r="J15" s="349">
        <f>SUM(J16:J17)</f>
        <v>0</v>
      </c>
      <c r="L15" s="289"/>
      <c r="M15" s="289"/>
      <c r="N15" s="289"/>
      <c r="O15" s="289"/>
    </row>
    <row r="16" spans="1:15" s="190" customFormat="1" ht="36.75" customHeight="1">
      <c r="A16" s="326" t="s">
        <v>1004</v>
      </c>
      <c r="B16" s="350" t="s">
        <v>1005</v>
      </c>
      <c r="C16" s="326" t="s">
        <v>1006</v>
      </c>
      <c r="D16" s="328" t="s">
        <v>1007</v>
      </c>
      <c r="E16" s="328" t="s">
        <v>1008</v>
      </c>
      <c r="F16" s="328" t="s">
        <v>1009</v>
      </c>
      <c r="G16" s="328">
        <v>1</v>
      </c>
      <c r="H16" s="362"/>
      <c r="I16" s="362"/>
      <c r="J16" s="324">
        <f>G16*(H16+I16)</f>
        <v>0</v>
      </c>
      <c r="L16" s="290"/>
      <c r="M16" s="290"/>
      <c r="N16" s="290"/>
      <c r="O16" s="290"/>
    </row>
    <row r="17" spans="1:15" s="191" customFormat="1" ht="19.5" customHeight="1">
      <c r="A17" s="326" t="s">
        <v>1011</v>
      </c>
      <c r="B17" s="351" t="s">
        <v>1012</v>
      </c>
      <c r="C17" s="326"/>
      <c r="D17" s="328"/>
      <c r="E17" s="328"/>
      <c r="F17" s="328" t="s">
        <v>1009</v>
      </c>
      <c r="G17" s="328">
        <v>1</v>
      </c>
      <c r="H17" s="362"/>
      <c r="I17" s="362"/>
      <c r="J17" s="324">
        <f>G17*(H17+I17)</f>
        <v>0</v>
      </c>
      <c r="L17" s="291"/>
      <c r="M17" s="291"/>
      <c r="N17" s="291"/>
      <c r="O17" s="291"/>
    </row>
    <row r="18" spans="1:15" s="190" customFormat="1" ht="19.5" customHeight="1">
      <c r="A18" s="352"/>
      <c r="B18" s="352"/>
      <c r="C18" s="353"/>
      <c r="D18" s="352"/>
      <c r="E18" s="352"/>
      <c r="F18" s="352"/>
      <c r="G18" s="354"/>
      <c r="H18" s="355"/>
      <c r="I18" s="355"/>
      <c r="J18" s="324"/>
      <c r="L18" s="290"/>
      <c r="M18" s="290"/>
      <c r="N18" s="290"/>
      <c r="O18" s="290"/>
    </row>
    <row r="19" spans="1:15" s="192" customFormat="1" ht="19.5" customHeight="1">
      <c r="A19" s="321">
        <v>2</v>
      </c>
      <c r="B19" s="320" t="s">
        <v>1017</v>
      </c>
      <c r="C19" s="356"/>
      <c r="D19" s="320"/>
      <c r="E19" s="320"/>
      <c r="F19" s="320"/>
      <c r="G19" s="321"/>
      <c r="H19" s="324"/>
      <c r="I19" s="349" t="s">
        <v>1003</v>
      </c>
      <c r="J19" s="324">
        <f>SUM(J20:J35)</f>
        <v>0</v>
      </c>
      <c r="L19" s="292"/>
      <c r="M19" s="292"/>
      <c r="N19" s="292"/>
      <c r="O19" s="292"/>
    </row>
    <row r="20" spans="1:15" s="191" customFormat="1" ht="19.5" customHeight="1">
      <c r="A20" s="326" t="s">
        <v>1018</v>
      </c>
      <c r="B20" s="327" t="s">
        <v>1019</v>
      </c>
      <c r="C20" s="326" t="s">
        <v>1020</v>
      </c>
      <c r="D20" s="328"/>
      <c r="E20" s="328"/>
      <c r="F20" s="328" t="s">
        <v>385</v>
      </c>
      <c r="G20" s="328">
        <v>245</v>
      </c>
      <c r="H20" s="340"/>
      <c r="I20" s="340"/>
      <c r="J20" s="324">
        <f aca="true" t="shared" si="0" ref="J20:J35">G20*(H20+I20)</f>
        <v>0</v>
      </c>
      <c r="L20" s="291"/>
      <c r="M20" s="293"/>
      <c r="N20" s="294"/>
      <c r="O20" s="291"/>
    </row>
    <row r="21" spans="1:15" s="191" customFormat="1" ht="19.5" customHeight="1">
      <c r="A21" s="326" t="s">
        <v>1021</v>
      </c>
      <c r="B21" s="333" t="s">
        <v>1019</v>
      </c>
      <c r="C21" s="326" t="s">
        <v>1022</v>
      </c>
      <c r="D21" s="328"/>
      <c r="E21" s="328"/>
      <c r="F21" s="328" t="s">
        <v>385</v>
      </c>
      <c r="G21" s="328">
        <v>70</v>
      </c>
      <c r="H21" s="340"/>
      <c r="I21" s="340"/>
      <c r="J21" s="324">
        <f t="shared" si="0"/>
        <v>0</v>
      </c>
      <c r="L21" s="291"/>
      <c r="M21" s="293"/>
      <c r="N21" s="294"/>
      <c r="O21" s="291"/>
    </row>
    <row r="22" spans="1:15" s="191" customFormat="1" ht="19.5" customHeight="1">
      <c r="A22" s="326" t="s">
        <v>1023</v>
      </c>
      <c r="B22" s="333" t="s">
        <v>1024</v>
      </c>
      <c r="C22" s="326"/>
      <c r="D22" s="328" t="s">
        <v>1025</v>
      </c>
      <c r="E22" s="328" t="s">
        <v>1026</v>
      </c>
      <c r="F22" s="328" t="s">
        <v>1009</v>
      </c>
      <c r="G22" s="328">
        <v>28</v>
      </c>
      <c r="H22" s="340"/>
      <c r="I22" s="340"/>
      <c r="J22" s="324">
        <f t="shared" si="0"/>
        <v>0</v>
      </c>
      <c r="L22" s="291"/>
      <c r="M22" s="293"/>
      <c r="N22" s="294"/>
      <c r="O22" s="291"/>
    </row>
    <row r="23" spans="1:15" s="191" customFormat="1" ht="19.5" customHeight="1">
      <c r="A23" s="326" t="s">
        <v>1027</v>
      </c>
      <c r="B23" s="333" t="s">
        <v>1028</v>
      </c>
      <c r="C23" s="326" t="s">
        <v>1029</v>
      </c>
      <c r="D23" s="328" t="s">
        <v>1030</v>
      </c>
      <c r="E23" s="328" t="s">
        <v>1031</v>
      </c>
      <c r="F23" s="328" t="s">
        <v>1009</v>
      </c>
      <c r="G23" s="328">
        <v>4</v>
      </c>
      <c r="H23" s="340"/>
      <c r="I23" s="340"/>
      <c r="J23" s="324">
        <f t="shared" si="0"/>
        <v>0</v>
      </c>
      <c r="L23" s="291"/>
      <c r="M23" s="293"/>
      <c r="N23" s="294"/>
      <c r="O23" s="291"/>
    </row>
    <row r="24" spans="1:15" s="191" customFormat="1" ht="19.5" customHeight="1">
      <c r="A24" s="326" t="s">
        <v>1032</v>
      </c>
      <c r="B24" s="333" t="s">
        <v>1033</v>
      </c>
      <c r="C24" s="326" t="s">
        <v>1029</v>
      </c>
      <c r="D24" s="328" t="s">
        <v>1030</v>
      </c>
      <c r="E24" s="328" t="s">
        <v>1031</v>
      </c>
      <c r="F24" s="328" t="s">
        <v>1009</v>
      </c>
      <c r="G24" s="328">
        <v>9</v>
      </c>
      <c r="H24" s="340"/>
      <c r="I24" s="340"/>
      <c r="J24" s="324">
        <f t="shared" si="0"/>
        <v>0</v>
      </c>
      <c r="L24" s="291"/>
      <c r="M24" s="293"/>
      <c r="N24" s="294"/>
      <c r="O24" s="291"/>
    </row>
    <row r="25" spans="1:15" s="191" customFormat="1" ht="19.5" customHeight="1">
      <c r="A25" s="326" t="s">
        <v>1034</v>
      </c>
      <c r="B25" s="333" t="s">
        <v>1035</v>
      </c>
      <c r="C25" s="326" t="s">
        <v>1029</v>
      </c>
      <c r="D25" s="328" t="s">
        <v>1030</v>
      </c>
      <c r="E25" s="328" t="s">
        <v>1031</v>
      </c>
      <c r="F25" s="328" t="s">
        <v>1009</v>
      </c>
      <c r="G25" s="328">
        <v>7</v>
      </c>
      <c r="H25" s="340"/>
      <c r="I25" s="340"/>
      <c r="J25" s="324">
        <f t="shared" si="0"/>
        <v>0</v>
      </c>
      <c r="L25" s="291"/>
      <c r="M25" s="293"/>
      <c r="N25" s="294"/>
      <c r="O25" s="291"/>
    </row>
    <row r="26" spans="1:15" s="191" customFormat="1" ht="19.5" customHeight="1">
      <c r="A26" s="326" t="s">
        <v>1036</v>
      </c>
      <c r="B26" s="333" t="s">
        <v>1037</v>
      </c>
      <c r="C26" s="326" t="s">
        <v>1029</v>
      </c>
      <c r="D26" s="328" t="s">
        <v>1030</v>
      </c>
      <c r="E26" s="328" t="s">
        <v>1031</v>
      </c>
      <c r="F26" s="328" t="s">
        <v>1009</v>
      </c>
      <c r="G26" s="328">
        <v>2</v>
      </c>
      <c r="H26" s="340"/>
      <c r="I26" s="340"/>
      <c r="J26" s="324">
        <f t="shared" si="0"/>
        <v>0</v>
      </c>
      <c r="L26" s="291"/>
      <c r="M26" s="293"/>
      <c r="N26" s="294"/>
      <c r="O26" s="291"/>
    </row>
    <row r="27" spans="1:15" s="191" customFormat="1" ht="19.5" customHeight="1">
      <c r="A27" s="326" t="s">
        <v>1038</v>
      </c>
      <c r="B27" s="333" t="s">
        <v>1039</v>
      </c>
      <c r="C27" s="326" t="s">
        <v>1029</v>
      </c>
      <c r="D27" s="328" t="s">
        <v>1030</v>
      </c>
      <c r="E27" s="328" t="s">
        <v>1031</v>
      </c>
      <c r="F27" s="328" t="s">
        <v>1009</v>
      </c>
      <c r="G27" s="328">
        <v>1</v>
      </c>
      <c r="H27" s="340"/>
      <c r="I27" s="340"/>
      <c r="J27" s="324">
        <f t="shared" si="0"/>
        <v>0</v>
      </c>
      <c r="L27" s="291"/>
      <c r="M27" s="293"/>
      <c r="N27" s="294"/>
      <c r="O27" s="291"/>
    </row>
    <row r="28" spans="1:15" s="191" customFormat="1" ht="19.5" customHeight="1">
      <c r="A28" s="326" t="s">
        <v>1040</v>
      </c>
      <c r="B28" s="333" t="s">
        <v>1041</v>
      </c>
      <c r="C28" s="326" t="s">
        <v>1029</v>
      </c>
      <c r="D28" s="328" t="s">
        <v>1030</v>
      </c>
      <c r="E28" s="328" t="s">
        <v>1031</v>
      </c>
      <c r="F28" s="328" t="s">
        <v>1009</v>
      </c>
      <c r="G28" s="328">
        <v>4</v>
      </c>
      <c r="H28" s="340"/>
      <c r="I28" s="340"/>
      <c r="J28" s="324">
        <f t="shared" si="0"/>
        <v>0</v>
      </c>
      <c r="L28" s="291"/>
      <c r="M28" s="293"/>
      <c r="N28" s="294"/>
      <c r="O28" s="291"/>
    </row>
    <row r="29" spans="1:15" s="191" customFormat="1" ht="19.5" customHeight="1">
      <c r="A29" s="326" t="s">
        <v>1042</v>
      </c>
      <c r="B29" s="333" t="s">
        <v>1043</v>
      </c>
      <c r="C29" s="326"/>
      <c r="D29" s="328" t="s">
        <v>1030</v>
      </c>
      <c r="E29" s="328" t="s">
        <v>1031</v>
      </c>
      <c r="F29" s="328" t="s">
        <v>1009</v>
      </c>
      <c r="G29" s="328">
        <v>23</v>
      </c>
      <c r="H29" s="340"/>
      <c r="I29" s="340"/>
      <c r="J29" s="324">
        <f t="shared" si="0"/>
        <v>0</v>
      </c>
      <c r="L29" s="291"/>
      <c r="M29" s="293"/>
      <c r="N29" s="294"/>
      <c r="O29" s="291"/>
    </row>
    <row r="30" spans="1:15" s="191" customFormat="1" ht="19.5" customHeight="1">
      <c r="A30" s="326" t="s">
        <v>1044</v>
      </c>
      <c r="B30" s="333" t="s">
        <v>1045</v>
      </c>
      <c r="C30" s="326"/>
      <c r="D30" s="328" t="s">
        <v>1030</v>
      </c>
      <c r="E30" s="328" t="s">
        <v>1031</v>
      </c>
      <c r="F30" s="328" t="s">
        <v>1009</v>
      </c>
      <c r="G30" s="328">
        <v>16</v>
      </c>
      <c r="H30" s="340"/>
      <c r="I30" s="340"/>
      <c r="J30" s="324">
        <f t="shared" si="0"/>
        <v>0</v>
      </c>
      <c r="L30" s="291"/>
      <c r="M30" s="293"/>
      <c r="N30" s="294"/>
      <c r="O30" s="291"/>
    </row>
    <row r="31" spans="1:15" s="191" customFormat="1" ht="19.5" customHeight="1">
      <c r="A31" s="326" t="s">
        <v>1046</v>
      </c>
      <c r="B31" s="333" t="s">
        <v>1047</v>
      </c>
      <c r="C31" s="326"/>
      <c r="D31" s="328" t="s">
        <v>1030</v>
      </c>
      <c r="E31" s="328" t="s">
        <v>1031</v>
      </c>
      <c r="F31" s="328" t="s">
        <v>1009</v>
      </c>
      <c r="G31" s="328">
        <v>5</v>
      </c>
      <c r="H31" s="340"/>
      <c r="I31" s="340"/>
      <c r="J31" s="324">
        <f t="shared" si="0"/>
        <v>0</v>
      </c>
      <c r="L31" s="291"/>
      <c r="M31" s="293"/>
      <c r="N31" s="294"/>
      <c r="O31" s="291"/>
    </row>
    <row r="32" spans="1:15" s="191" customFormat="1" ht="19.5" customHeight="1">
      <c r="A32" s="326" t="s">
        <v>1048</v>
      </c>
      <c r="B32" s="333" t="s">
        <v>1049</v>
      </c>
      <c r="C32" s="326"/>
      <c r="D32" s="328" t="s">
        <v>1030</v>
      </c>
      <c r="E32" s="328" t="s">
        <v>1031</v>
      </c>
      <c r="F32" s="328" t="s">
        <v>1009</v>
      </c>
      <c r="G32" s="328">
        <v>1</v>
      </c>
      <c r="H32" s="340"/>
      <c r="I32" s="340"/>
      <c r="J32" s="324">
        <f t="shared" si="0"/>
        <v>0</v>
      </c>
      <c r="L32" s="291"/>
      <c r="M32" s="293"/>
      <c r="N32" s="294"/>
      <c r="O32" s="291"/>
    </row>
    <row r="33" spans="1:15" s="191" customFormat="1" ht="19.5" customHeight="1">
      <c r="A33" s="326" t="s">
        <v>1050</v>
      </c>
      <c r="B33" s="333" t="s">
        <v>1051</v>
      </c>
      <c r="C33" s="326" t="s">
        <v>1052</v>
      </c>
      <c r="D33" s="328" t="s">
        <v>1053</v>
      </c>
      <c r="E33" s="328" t="s">
        <v>1054</v>
      </c>
      <c r="F33" s="328" t="s">
        <v>385</v>
      </c>
      <c r="G33" s="328">
        <v>25</v>
      </c>
      <c r="H33" s="340"/>
      <c r="I33" s="340"/>
      <c r="J33" s="324">
        <f t="shared" si="0"/>
        <v>0</v>
      </c>
      <c r="L33" s="291"/>
      <c r="M33" s="293"/>
      <c r="N33" s="294"/>
      <c r="O33" s="291"/>
    </row>
    <row r="34" spans="1:15" s="191" customFormat="1" ht="19.5" customHeight="1">
      <c r="A34" s="326" t="s">
        <v>1055</v>
      </c>
      <c r="B34" s="333" t="s">
        <v>1051</v>
      </c>
      <c r="C34" s="326" t="s">
        <v>1056</v>
      </c>
      <c r="D34" s="328" t="s">
        <v>1053</v>
      </c>
      <c r="E34" s="328" t="s">
        <v>1054</v>
      </c>
      <c r="F34" s="328" t="s">
        <v>385</v>
      </c>
      <c r="G34" s="328">
        <v>70</v>
      </c>
      <c r="H34" s="340"/>
      <c r="I34" s="340"/>
      <c r="J34" s="324">
        <f t="shared" si="0"/>
        <v>0</v>
      </c>
      <c r="L34" s="291"/>
      <c r="M34" s="293"/>
      <c r="N34" s="294"/>
      <c r="O34" s="291"/>
    </row>
    <row r="35" spans="1:15" s="191" customFormat="1" ht="19.5" customHeight="1">
      <c r="A35" s="326" t="s">
        <v>1057</v>
      </c>
      <c r="B35" s="333" t="s">
        <v>1058</v>
      </c>
      <c r="C35" s="326" t="s">
        <v>1059</v>
      </c>
      <c r="D35" s="328"/>
      <c r="E35" s="328"/>
      <c r="F35" s="328" t="s">
        <v>1009</v>
      </c>
      <c r="G35" s="328">
        <v>5</v>
      </c>
      <c r="H35" s="340"/>
      <c r="I35" s="340"/>
      <c r="J35" s="324">
        <f t="shared" si="0"/>
        <v>0</v>
      </c>
      <c r="L35" s="291"/>
      <c r="M35" s="293"/>
      <c r="N35" s="294"/>
      <c r="O35" s="291"/>
    </row>
    <row r="36" spans="1:15" s="190" customFormat="1" ht="19.5" customHeight="1">
      <c r="A36" s="354"/>
      <c r="B36" s="352"/>
      <c r="C36" s="357"/>
      <c r="D36" s="354"/>
      <c r="E36" s="354"/>
      <c r="F36" s="354"/>
      <c r="G36" s="354"/>
      <c r="H36" s="355"/>
      <c r="I36" s="355"/>
      <c r="J36" s="324"/>
      <c r="L36" s="290"/>
      <c r="M36" s="295"/>
      <c r="N36" s="294"/>
      <c r="O36" s="290"/>
    </row>
    <row r="37" spans="1:15" s="192" customFormat="1" ht="19.5" customHeight="1">
      <c r="A37" s="321">
        <v>3</v>
      </c>
      <c r="B37" s="320" t="s">
        <v>1060</v>
      </c>
      <c r="C37" s="319"/>
      <c r="D37" s="321"/>
      <c r="E37" s="321"/>
      <c r="F37" s="321"/>
      <c r="G37" s="321"/>
      <c r="H37" s="324"/>
      <c r="I37" s="349" t="s">
        <v>1003</v>
      </c>
      <c r="J37" s="324">
        <f>SUM(J38:J45)</f>
        <v>0</v>
      </c>
      <c r="L37" s="292"/>
      <c r="M37" s="296"/>
      <c r="N37" s="294"/>
      <c r="O37" s="292"/>
    </row>
    <row r="38" spans="1:15" s="191" customFormat="1" ht="19.5" customHeight="1">
      <c r="A38" s="326" t="s">
        <v>1061</v>
      </c>
      <c r="B38" s="327" t="s">
        <v>1019</v>
      </c>
      <c r="C38" s="326" t="s">
        <v>1062</v>
      </c>
      <c r="D38" s="328" t="s">
        <v>1063</v>
      </c>
      <c r="E38" s="328"/>
      <c r="F38" s="328" t="s">
        <v>385</v>
      </c>
      <c r="G38" s="328">
        <v>377</v>
      </c>
      <c r="H38" s="340"/>
      <c r="I38" s="340"/>
      <c r="J38" s="324">
        <f aca="true" t="shared" si="1" ref="J38:J45">G38*(H38+I38)</f>
        <v>0</v>
      </c>
      <c r="L38" s="291"/>
      <c r="M38" s="293"/>
      <c r="N38" s="294"/>
      <c r="O38" s="291"/>
    </row>
    <row r="39" spans="1:15" s="191" customFormat="1" ht="19.5" customHeight="1">
      <c r="A39" s="326" t="s">
        <v>1064</v>
      </c>
      <c r="B39" s="327" t="s">
        <v>1065</v>
      </c>
      <c r="C39" s="328"/>
      <c r="D39" s="328" t="s">
        <v>1025</v>
      </c>
      <c r="E39" s="328" t="s">
        <v>1066</v>
      </c>
      <c r="F39" s="328" t="s">
        <v>1009</v>
      </c>
      <c r="G39" s="328">
        <v>50</v>
      </c>
      <c r="H39" s="340"/>
      <c r="I39" s="340"/>
      <c r="J39" s="324">
        <f t="shared" si="1"/>
        <v>0</v>
      </c>
      <c r="L39" s="291"/>
      <c r="M39" s="293"/>
      <c r="N39" s="294"/>
      <c r="O39" s="291"/>
    </row>
    <row r="40" spans="1:15" s="191" customFormat="1" ht="17.25" customHeight="1">
      <c r="A40" s="326" t="s">
        <v>1067</v>
      </c>
      <c r="B40" s="333" t="s">
        <v>1068</v>
      </c>
      <c r="C40" s="326" t="s">
        <v>1069</v>
      </c>
      <c r="D40" s="334" t="s">
        <v>1030</v>
      </c>
      <c r="E40" s="358" t="s">
        <v>1031</v>
      </c>
      <c r="F40" s="328" t="s">
        <v>1009</v>
      </c>
      <c r="G40" s="328">
        <v>46</v>
      </c>
      <c r="H40" s="340"/>
      <c r="I40" s="340"/>
      <c r="J40" s="324">
        <f t="shared" si="1"/>
        <v>0</v>
      </c>
      <c r="L40" s="291"/>
      <c r="M40" s="293"/>
      <c r="N40" s="294"/>
      <c r="O40" s="291"/>
    </row>
    <row r="41" spans="1:15" s="191" customFormat="1" ht="26.25" customHeight="1">
      <c r="A41" s="326" t="s">
        <v>1070</v>
      </c>
      <c r="B41" s="359" t="s">
        <v>1071</v>
      </c>
      <c r="C41" s="326" t="s">
        <v>1069</v>
      </c>
      <c r="D41" s="334" t="s">
        <v>1030</v>
      </c>
      <c r="E41" s="358" t="s">
        <v>1031</v>
      </c>
      <c r="F41" s="328" t="s">
        <v>1009</v>
      </c>
      <c r="G41" s="328">
        <v>1</v>
      </c>
      <c r="H41" s="340"/>
      <c r="I41" s="340"/>
      <c r="J41" s="324">
        <f t="shared" si="1"/>
        <v>0</v>
      </c>
      <c r="L41" s="291"/>
      <c r="M41" s="293"/>
      <c r="N41" s="294"/>
      <c r="O41" s="291"/>
    </row>
    <row r="42" spans="1:15" s="191" customFormat="1" ht="20.25" customHeight="1">
      <c r="A42" s="326" t="s">
        <v>1072</v>
      </c>
      <c r="B42" s="333" t="s">
        <v>1068</v>
      </c>
      <c r="C42" s="326" t="s">
        <v>1073</v>
      </c>
      <c r="D42" s="334" t="s">
        <v>1030</v>
      </c>
      <c r="E42" s="358" t="s">
        <v>1031</v>
      </c>
      <c r="F42" s="328" t="s">
        <v>1009</v>
      </c>
      <c r="G42" s="328">
        <v>1</v>
      </c>
      <c r="H42" s="340"/>
      <c r="I42" s="340"/>
      <c r="J42" s="324">
        <f t="shared" si="1"/>
        <v>0</v>
      </c>
      <c r="L42" s="291"/>
      <c r="M42" s="293"/>
      <c r="N42" s="294"/>
      <c r="O42" s="291"/>
    </row>
    <row r="43" spans="1:15" s="191" customFormat="1" ht="19.5" customHeight="1">
      <c r="A43" s="326" t="s">
        <v>1074</v>
      </c>
      <c r="B43" s="333" t="s">
        <v>1075</v>
      </c>
      <c r="C43" s="326" t="s">
        <v>1076</v>
      </c>
      <c r="D43" s="328" t="s">
        <v>1077</v>
      </c>
      <c r="E43" s="328" t="s">
        <v>1078</v>
      </c>
      <c r="F43" s="328" t="s">
        <v>1009</v>
      </c>
      <c r="G43" s="328">
        <v>1</v>
      </c>
      <c r="H43" s="340"/>
      <c r="I43" s="340"/>
      <c r="J43" s="324">
        <f t="shared" si="1"/>
        <v>0</v>
      </c>
      <c r="L43" s="291"/>
      <c r="M43" s="293"/>
      <c r="N43" s="294"/>
      <c r="O43" s="291"/>
    </row>
    <row r="44" spans="1:15" s="191" customFormat="1" ht="19.5" customHeight="1">
      <c r="A44" s="326" t="s">
        <v>1079</v>
      </c>
      <c r="B44" s="333" t="s">
        <v>1051</v>
      </c>
      <c r="C44" s="326" t="s">
        <v>1056</v>
      </c>
      <c r="D44" s="328" t="s">
        <v>1053</v>
      </c>
      <c r="E44" s="328" t="s">
        <v>1054</v>
      </c>
      <c r="F44" s="328" t="s">
        <v>385</v>
      </c>
      <c r="G44" s="328">
        <v>30</v>
      </c>
      <c r="H44" s="340"/>
      <c r="I44" s="340"/>
      <c r="J44" s="324">
        <f t="shared" si="1"/>
        <v>0</v>
      </c>
      <c r="L44" s="291"/>
      <c r="M44" s="293"/>
      <c r="N44" s="294"/>
      <c r="O44" s="291"/>
    </row>
    <row r="45" spans="1:15" s="191" customFormat="1" ht="19.5" customHeight="1">
      <c r="A45" s="326" t="s">
        <v>1080</v>
      </c>
      <c r="B45" s="333" t="s">
        <v>1058</v>
      </c>
      <c r="C45" s="326" t="s">
        <v>1059</v>
      </c>
      <c r="D45" s="328"/>
      <c r="E45" s="328"/>
      <c r="F45" s="328" t="s">
        <v>1009</v>
      </c>
      <c r="G45" s="328">
        <v>3</v>
      </c>
      <c r="H45" s="340"/>
      <c r="I45" s="340"/>
      <c r="J45" s="324">
        <f t="shared" si="1"/>
        <v>0</v>
      </c>
      <c r="L45" s="291"/>
      <c r="M45" s="293"/>
      <c r="N45" s="294"/>
      <c r="O45" s="291"/>
    </row>
    <row r="46" spans="1:15" s="189" customFormat="1" ht="19.5" customHeight="1">
      <c r="A46" s="345">
        <v>4</v>
      </c>
      <c r="B46" s="346" t="s">
        <v>1081</v>
      </c>
      <c r="C46" s="360"/>
      <c r="D46" s="345"/>
      <c r="E46" s="345"/>
      <c r="F46" s="345"/>
      <c r="G46" s="345"/>
      <c r="H46" s="349"/>
      <c r="I46" s="349" t="s">
        <v>1003</v>
      </c>
      <c r="J46" s="324">
        <f>SUM(J47:J66)</f>
        <v>0</v>
      </c>
      <c r="L46" s="289"/>
      <c r="M46" s="297"/>
      <c r="N46" s="294"/>
      <c r="O46" s="289"/>
    </row>
    <row r="47" spans="1:15" s="193" customFormat="1" ht="19.5" customHeight="1">
      <c r="A47" s="326" t="s">
        <v>1082</v>
      </c>
      <c r="B47" s="333" t="s">
        <v>1083</v>
      </c>
      <c r="C47" s="326" t="s">
        <v>1084</v>
      </c>
      <c r="D47" s="328" t="s">
        <v>1063</v>
      </c>
      <c r="E47" s="328"/>
      <c r="F47" s="328" t="s">
        <v>385</v>
      </c>
      <c r="G47" s="328">
        <v>15</v>
      </c>
      <c r="H47" s="340"/>
      <c r="I47" s="340"/>
      <c r="J47" s="324">
        <f aca="true" t="shared" si="2" ref="J47:J66">G47*(H47+I47)</f>
        <v>0</v>
      </c>
      <c r="L47" s="298"/>
      <c r="M47" s="293"/>
      <c r="N47" s="294"/>
      <c r="O47" s="298"/>
    </row>
    <row r="48" spans="1:15" s="191" customFormat="1" ht="19.5" customHeight="1">
      <c r="A48" s="326" t="s">
        <v>1085</v>
      </c>
      <c r="B48" s="327" t="s">
        <v>1086</v>
      </c>
      <c r="C48" s="326" t="s">
        <v>1087</v>
      </c>
      <c r="D48" s="328" t="s">
        <v>1063</v>
      </c>
      <c r="E48" s="328"/>
      <c r="F48" s="328" t="s">
        <v>385</v>
      </c>
      <c r="G48" s="328">
        <v>38</v>
      </c>
      <c r="H48" s="340"/>
      <c r="I48" s="340"/>
      <c r="J48" s="324">
        <f t="shared" si="2"/>
        <v>0</v>
      </c>
      <c r="L48" s="291"/>
      <c r="M48" s="293"/>
      <c r="N48" s="294"/>
      <c r="O48" s="291"/>
    </row>
    <row r="49" spans="1:15" s="191" customFormat="1" ht="19.5" customHeight="1">
      <c r="A49" s="326" t="s">
        <v>1088</v>
      </c>
      <c r="B49" s="327" t="s">
        <v>1089</v>
      </c>
      <c r="C49" s="326" t="s">
        <v>1062</v>
      </c>
      <c r="D49" s="328" t="s">
        <v>1063</v>
      </c>
      <c r="E49" s="328"/>
      <c r="F49" s="328" t="s">
        <v>385</v>
      </c>
      <c r="G49" s="328">
        <v>32</v>
      </c>
      <c r="H49" s="340"/>
      <c r="I49" s="340"/>
      <c r="J49" s="324">
        <f t="shared" si="2"/>
        <v>0</v>
      </c>
      <c r="L49" s="291"/>
      <c r="M49" s="293"/>
      <c r="N49" s="294"/>
      <c r="O49" s="291"/>
    </row>
    <row r="50" spans="1:15" s="191" customFormat="1" ht="19.5" customHeight="1">
      <c r="A50" s="326" t="s">
        <v>1090</v>
      </c>
      <c r="B50" s="327" t="s">
        <v>1091</v>
      </c>
      <c r="C50" s="326" t="s">
        <v>1092</v>
      </c>
      <c r="D50" s="328" t="s">
        <v>1063</v>
      </c>
      <c r="E50" s="328"/>
      <c r="F50" s="328" t="s">
        <v>385</v>
      </c>
      <c r="G50" s="328">
        <v>24</v>
      </c>
      <c r="H50" s="340"/>
      <c r="I50" s="340"/>
      <c r="J50" s="324">
        <f t="shared" si="2"/>
        <v>0</v>
      </c>
      <c r="L50" s="291"/>
      <c r="M50" s="293"/>
      <c r="N50" s="294"/>
      <c r="O50" s="291"/>
    </row>
    <row r="51" spans="1:15" s="191" customFormat="1" ht="19.5" customHeight="1">
      <c r="A51" s="326" t="s">
        <v>1093</v>
      </c>
      <c r="B51" s="327" t="s">
        <v>1094</v>
      </c>
      <c r="C51" s="326" t="s">
        <v>1095</v>
      </c>
      <c r="D51" s="328" t="s">
        <v>1063</v>
      </c>
      <c r="E51" s="328"/>
      <c r="F51" s="328" t="s">
        <v>385</v>
      </c>
      <c r="G51" s="328">
        <v>35</v>
      </c>
      <c r="H51" s="340"/>
      <c r="I51" s="340"/>
      <c r="J51" s="324">
        <f t="shared" si="2"/>
        <v>0</v>
      </c>
      <c r="L51" s="291"/>
      <c r="M51" s="293"/>
      <c r="N51" s="294"/>
      <c r="O51" s="291"/>
    </row>
    <row r="52" spans="1:15" s="191" customFormat="1" ht="19.5" customHeight="1">
      <c r="A52" s="326" t="s">
        <v>1096</v>
      </c>
      <c r="B52" s="327" t="s">
        <v>1097</v>
      </c>
      <c r="C52" s="326" t="s">
        <v>1020</v>
      </c>
      <c r="D52" s="328" t="s">
        <v>1098</v>
      </c>
      <c r="E52" s="328"/>
      <c r="F52" s="328" t="s">
        <v>385</v>
      </c>
      <c r="G52" s="328">
        <v>18</v>
      </c>
      <c r="H52" s="340"/>
      <c r="I52" s="340"/>
      <c r="J52" s="324">
        <f t="shared" si="2"/>
        <v>0</v>
      </c>
      <c r="L52" s="291"/>
      <c r="M52" s="293"/>
      <c r="N52" s="294"/>
      <c r="O52" s="291"/>
    </row>
    <row r="53" spans="1:15" s="191" customFormat="1" ht="19.5" customHeight="1">
      <c r="A53" s="326" t="s">
        <v>1099</v>
      </c>
      <c r="B53" s="327" t="s">
        <v>1097</v>
      </c>
      <c r="C53" s="326" t="s">
        <v>1100</v>
      </c>
      <c r="D53" s="328" t="s">
        <v>1098</v>
      </c>
      <c r="E53" s="328"/>
      <c r="F53" s="328" t="s">
        <v>385</v>
      </c>
      <c r="G53" s="328">
        <v>18</v>
      </c>
      <c r="H53" s="340"/>
      <c r="I53" s="340"/>
      <c r="J53" s="324">
        <f t="shared" si="2"/>
        <v>0</v>
      </c>
      <c r="L53" s="291"/>
      <c r="M53" s="293"/>
      <c r="N53" s="294"/>
      <c r="O53" s="291"/>
    </row>
    <row r="54" spans="1:15" s="191" customFormat="1" ht="19.5" customHeight="1">
      <c r="A54" s="326" t="s">
        <v>1101</v>
      </c>
      <c r="B54" s="327" t="s">
        <v>1097</v>
      </c>
      <c r="C54" s="326" t="s">
        <v>1102</v>
      </c>
      <c r="D54" s="328" t="s">
        <v>1098</v>
      </c>
      <c r="E54" s="328"/>
      <c r="F54" s="328" t="s">
        <v>385</v>
      </c>
      <c r="G54" s="328">
        <v>18</v>
      </c>
      <c r="H54" s="340"/>
      <c r="I54" s="340"/>
      <c r="J54" s="324">
        <f t="shared" si="2"/>
        <v>0</v>
      </c>
      <c r="L54" s="291"/>
      <c r="M54" s="293"/>
      <c r="N54" s="294"/>
      <c r="O54" s="291"/>
    </row>
    <row r="55" spans="1:15" s="191" customFormat="1" ht="19.5" customHeight="1">
      <c r="A55" s="326" t="s">
        <v>1103</v>
      </c>
      <c r="B55" s="327" t="s">
        <v>1104</v>
      </c>
      <c r="C55" s="326" t="s">
        <v>1105</v>
      </c>
      <c r="D55" s="328" t="s">
        <v>1098</v>
      </c>
      <c r="E55" s="328"/>
      <c r="F55" s="328" t="s">
        <v>385</v>
      </c>
      <c r="G55" s="328">
        <v>232</v>
      </c>
      <c r="H55" s="340"/>
      <c r="I55" s="340"/>
      <c r="J55" s="324">
        <f t="shared" si="2"/>
        <v>0</v>
      </c>
      <c r="L55" s="291"/>
      <c r="M55" s="293"/>
      <c r="N55" s="294"/>
      <c r="O55" s="291"/>
    </row>
    <row r="56" spans="1:15" s="191" customFormat="1" ht="19.5" customHeight="1">
      <c r="A56" s="326" t="s">
        <v>1106</v>
      </c>
      <c r="B56" s="333" t="s">
        <v>1107</v>
      </c>
      <c r="C56" s="326"/>
      <c r="D56" s="328" t="s">
        <v>1025</v>
      </c>
      <c r="E56" s="328" t="s">
        <v>1108</v>
      </c>
      <c r="F56" s="328" t="s">
        <v>1009</v>
      </c>
      <c r="G56" s="328">
        <v>4</v>
      </c>
      <c r="H56" s="340"/>
      <c r="I56" s="340"/>
      <c r="J56" s="324">
        <f t="shared" si="2"/>
        <v>0</v>
      </c>
      <c r="L56" s="291"/>
      <c r="M56" s="293"/>
      <c r="N56" s="294"/>
      <c r="O56" s="291"/>
    </row>
    <row r="57" spans="1:15" s="191" customFormat="1" ht="19.5" customHeight="1">
      <c r="A57" s="326" t="s">
        <v>1109</v>
      </c>
      <c r="B57" s="327" t="s">
        <v>1110</v>
      </c>
      <c r="C57" s="326"/>
      <c r="D57" s="328" t="s">
        <v>1030</v>
      </c>
      <c r="E57" s="328" t="s">
        <v>1031</v>
      </c>
      <c r="F57" s="328" t="s">
        <v>1009</v>
      </c>
      <c r="G57" s="328">
        <v>2</v>
      </c>
      <c r="H57" s="340"/>
      <c r="I57" s="340"/>
      <c r="J57" s="324">
        <f t="shared" si="2"/>
        <v>0</v>
      </c>
      <c r="L57" s="291"/>
      <c r="M57" s="293"/>
      <c r="N57" s="294"/>
      <c r="O57" s="291"/>
    </row>
    <row r="58" spans="1:15" s="191" customFormat="1" ht="19.5" customHeight="1">
      <c r="A58" s="326" t="s">
        <v>1111</v>
      </c>
      <c r="B58" s="327" t="s">
        <v>1112</v>
      </c>
      <c r="C58" s="326"/>
      <c r="D58" s="328" t="s">
        <v>1113</v>
      </c>
      <c r="E58" s="328"/>
      <c r="F58" s="328" t="s">
        <v>1009</v>
      </c>
      <c r="G58" s="328">
        <v>2</v>
      </c>
      <c r="H58" s="340"/>
      <c r="I58" s="340"/>
      <c r="J58" s="324">
        <f t="shared" si="2"/>
        <v>0</v>
      </c>
      <c r="L58" s="291"/>
      <c r="M58" s="293"/>
      <c r="N58" s="294"/>
      <c r="O58" s="291"/>
    </row>
    <row r="59" spans="1:15" s="191" customFormat="1" ht="19.5" customHeight="1">
      <c r="A59" s="326" t="s">
        <v>1114</v>
      </c>
      <c r="B59" s="327" t="s">
        <v>1115</v>
      </c>
      <c r="C59" s="326" t="s">
        <v>1116</v>
      </c>
      <c r="D59" s="328" t="s">
        <v>1113</v>
      </c>
      <c r="E59" s="328"/>
      <c r="F59" s="328" t="s">
        <v>1009</v>
      </c>
      <c r="G59" s="328">
        <v>1</v>
      </c>
      <c r="H59" s="340"/>
      <c r="I59" s="340"/>
      <c r="J59" s="324">
        <f t="shared" si="2"/>
        <v>0</v>
      </c>
      <c r="L59" s="291"/>
      <c r="M59" s="293"/>
      <c r="N59" s="294"/>
      <c r="O59" s="291"/>
    </row>
    <row r="60" spans="1:15" s="191" customFormat="1" ht="19.5" customHeight="1">
      <c r="A60" s="326" t="s">
        <v>1117</v>
      </c>
      <c r="B60" s="327" t="s">
        <v>1118</v>
      </c>
      <c r="C60" s="326" t="s">
        <v>1116</v>
      </c>
      <c r="D60" s="328" t="s">
        <v>1113</v>
      </c>
      <c r="E60" s="328"/>
      <c r="F60" s="328" t="s">
        <v>1009</v>
      </c>
      <c r="G60" s="328">
        <v>1</v>
      </c>
      <c r="H60" s="340"/>
      <c r="I60" s="340"/>
      <c r="J60" s="324">
        <f t="shared" si="2"/>
        <v>0</v>
      </c>
      <c r="L60" s="291"/>
      <c r="M60" s="293"/>
      <c r="N60" s="294"/>
      <c r="O60" s="291"/>
    </row>
    <row r="61" spans="1:15" s="191" customFormat="1" ht="19.5" customHeight="1">
      <c r="A61" s="326" t="s">
        <v>1119</v>
      </c>
      <c r="B61" s="333" t="s">
        <v>1120</v>
      </c>
      <c r="C61" s="326">
        <v>2.5</v>
      </c>
      <c r="D61" s="328" t="s">
        <v>1063</v>
      </c>
      <c r="E61" s="328"/>
      <c r="F61" s="328" t="s">
        <v>385</v>
      </c>
      <c r="G61" s="328">
        <v>27</v>
      </c>
      <c r="H61" s="340"/>
      <c r="I61" s="340"/>
      <c r="J61" s="324">
        <f t="shared" si="2"/>
        <v>0</v>
      </c>
      <c r="L61" s="291"/>
      <c r="M61" s="293"/>
      <c r="N61" s="294"/>
      <c r="O61" s="291"/>
    </row>
    <row r="62" spans="1:15" s="191" customFormat="1" ht="19.5" customHeight="1">
      <c r="A62" s="326" t="s">
        <v>1121</v>
      </c>
      <c r="B62" s="333" t="s">
        <v>1120</v>
      </c>
      <c r="C62" s="326">
        <v>6</v>
      </c>
      <c r="D62" s="328" t="s">
        <v>1063</v>
      </c>
      <c r="E62" s="328"/>
      <c r="F62" s="328" t="s">
        <v>385</v>
      </c>
      <c r="G62" s="328">
        <v>15</v>
      </c>
      <c r="H62" s="340"/>
      <c r="I62" s="340"/>
      <c r="J62" s="324">
        <f t="shared" si="2"/>
        <v>0</v>
      </c>
      <c r="L62" s="291"/>
      <c r="M62" s="293"/>
      <c r="N62" s="294"/>
      <c r="O62" s="291"/>
    </row>
    <row r="63" spans="1:15" s="191" customFormat="1" ht="19.5" customHeight="1">
      <c r="A63" s="326" t="s">
        <v>1122</v>
      </c>
      <c r="B63" s="333" t="s">
        <v>1123</v>
      </c>
      <c r="C63" s="326">
        <v>10</v>
      </c>
      <c r="D63" s="328" t="s">
        <v>1063</v>
      </c>
      <c r="E63" s="328"/>
      <c r="F63" s="328" t="s">
        <v>385</v>
      </c>
      <c r="G63" s="328">
        <v>29</v>
      </c>
      <c r="H63" s="340"/>
      <c r="I63" s="340"/>
      <c r="J63" s="324">
        <f t="shared" si="2"/>
        <v>0</v>
      </c>
      <c r="L63" s="291"/>
      <c r="M63" s="293"/>
      <c r="N63" s="294"/>
      <c r="O63" s="291"/>
    </row>
    <row r="64" spans="1:15" s="191" customFormat="1" ht="19.5" customHeight="1">
      <c r="A64" s="326" t="s">
        <v>1124</v>
      </c>
      <c r="B64" s="333" t="s">
        <v>1125</v>
      </c>
      <c r="C64" s="326"/>
      <c r="D64" s="328" t="s">
        <v>1126</v>
      </c>
      <c r="E64" s="328"/>
      <c r="F64" s="328" t="s">
        <v>1009</v>
      </c>
      <c r="G64" s="328">
        <v>7</v>
      </c>
      <c r="H64" s="340"/>
      <c r="I64" s="340"/>
      <c r="J64" s="324">
        <f t="shared" si="2"/>
        <v>0</v>
      </c>
      <c r="L64" s="291"/>
      <c r="M64" s="293"/>
      <c r="N64" s="294"/>
      <c r="O64" s="291"/>
    </row>
    <row r="65" spans="1:15" s="191" customFormat="1" ht="19.5" customHeight="1">
      <c r="A65" s="326" t="s">
        <v>1127</v>
      </c>
      <c r="B65" s="333" t="s">
        <v>1128</v>
      </c>
      <c r="C65" s="326" t="s">
        <v>1129</v>
      </c>
      <c r="D65" s="328" t="s">
        <v>1130</v>
      </c>
      <c r="E65" s="328"/>
      <c r="F65" s="328" t="s">
        <v>1009</v>
      </c>
      <c r="G65" s="328">
        <v>2</v>
      </c>
      <c r="H65" s="340"/>
      <c r="I65" s="340"/>
      <c r="J65" s="324">
        <f t="shared" si="2"/>
        <v>0</v>
      </c>
      <c r="L65" s="291"/>
      <c r="M65" s="293"/>
      <c r="N65" s="294"/>
      <c r="O65" s="291"/>
    </row>
    <row r="66" spans="1:15" s="191" customFormat="1" ht="19.5" customHeight="1">
      <c r="A66" s="326" t="s">
        <v>1131</v>
      </c>
      <c r="B66" s="333" t="s">
        <v>1051</v>
      </c>
      <c r="C66" s="326" t="s">
        <v>1056</v>
      </c>
      <c r="D66" s="328" t="s">
        <v>1053</v>
      </c>
      <c r="E66" s="328" t="s">
        <v>1054</v>
      </c>
      <c r="F66" s="328" t="s">
        <v>385</v>
      </c>
      <c r="G66" s="328">
        <v>5</v>
      </c>
      <c r="H66" s="340"/>
      <c r="I66" s="340"/>
      <c r="J66" s="324">
        <f t="shared" si="2"/>
        <v>0</v>
      </c>
      <c r="L66" s="291"/>
      <c r="M66" s="293"/>
      <c r="N66" s="294"/>
      <c r="O66" s="291"/>
    </row>
    <row r="67" spans="1:15" s="190" customFormat="1" ht="19.5" customHeight="1">
      <c r="A67" s="357"/>
      <c r="B67" s="361"/>
      <c r="C67" s="357"/>
      <c r="D67" s="354"/>
      <c r="E67" s="354"/>
      <c r="F67" s="354"/>
      <c r="G67" s="354"/>
      <c r="H67" s="355"/>
      <c r="I67" s="355"/>
      <c r="J67" s="324"/>
      <c r="L67" s="290"/>
      <c r="M67" s="290"/>
      <c r="N67" s="290"/>
      <c r="O67" s="290"/>
    </row>
    <row r="68" spans="1:15" s="192" customFormat="1" ht="19.5" customHeight="1">
      <c r="A68" s="321">
        <v>5</v>
      </c>
      <c r="B68" s="320" t="s">
        <v>1132</v>
      </c>
      <c r="C68" s="319"/>
      <c r="D68" s="321"/>
      <c r="E68" s="321"/>
      <c r="F68" s="321"/>
      <c r="G68" s="321"/>
      <c r="H68" s="324"/>
      <c r="I68" s="349" t="s">
        <v>1003</v>
      </c>
      <c r="J68" s="324">
        <f>SUM(J69:J69)</f>
        <v>0</v>
      </c>
      <c r="L68" s="292"/>
      <c r="M68" s="292"/>
      <c r="N68" s="292"/>
      <c r="O68" s="292"/>
    </row>
    <row r="69" spans="1:15" s="191" customFormat="1" ht="19.5" customHeight="1">
      <c r="A69" s="326" t="s">
        <v>1133</v>
      </c>
      <c r="B69" s="333" t="s">
        <v>1134</v>
      </c>
      <c r="C69" s="326"/>
      <c r="D69" s="328" t="s">
        <v>1135</v>
      </c>
      <c r="E69" s="328"/>
      <c r="F69" s="328" t="s">
        <v>1009</v>
      </c>
      <c r="G69" s="328">
        <v>15</v>
      </c>
      <c r="H69" s="340"/>
      <c r="I69" s="340"/>
      <c r="J69" s="324">
        <f>G69*(H69+I69)</f>
        <v>0</v>
      </c>
      <c r="L69" s="291"/>
      <c r="M69" s="291"/>
      <c r="N69" s="291"/>
      <c r="O69" s="291"/>
    </row>
    <row r="70" spans="1:15" s="190" customFormat="1" ht="19.5" customHeight="1">
      <c r="A70" s="326"/>
      <c r="B70" s="333"/>
      <c r="C70" s="326"/>
      <c r="D70" s="328"/>
      <c r="E70" s="328"/>
      <c r="F70" s="328"/>
      <c r="G70" s="328"/>
      <c r="H70" s="330"/>
      <c r="I70" s="330"/>
      <c r="J70" s="324"/>
      <c r="L70" s="290"/>
      <c r="M70" s="290"/>
      <c r="N70" s="290"/>
      <c r="O70" s="290"/>
    </row>
    <row r="71" spans="1:15" s="189" customFormat="1" ht="19.5" customHeight="1">
      <c r="A71" s="345">
        <v>6</v>
      </c>
      <c r="B71" s="320" t="s">
        <v>1136</v>
      </c>
      <c r="C71" s="360"/>
      <c r="D71" s="345"/>
      <c r="E71" s="345"/>
      <c r="F71" s="345"/>
      <c r="G71" s="345"/>
      <c r="H71" s="349"/>
      <c r="I71" s="349" t="s">
        <v>1003</v>
      </c>
      <c r="J71" s="324">
        <f>SUM(J72:J74)</f>
        <v>0</v>
      </c>
      <c r="L71" s="289"/>
      <c r="M71" s="289"/>
      <c r="N71" s="289"/>
      <c r="O71" s="289"/>
    </row>
    <row r="72" spans="1:10" s="190" customFormat="1" ht="19.5" customHeight="1">
      <c r="A72" s="326" t="s">
        <v>1137</v>
      </c>
      <c r="B72" s="351" t="s">
        <v>1490</v>
      </c>
      <c r="C72" s="326" t="s">
        <v>1139</v>
      </c>
      <c r="D72" s="328"/>
      <c r="E72" s="328"/>
      <c r="F72" s="328" t="s">
        <v>167</v>
      </c>
      <c r="G72" s="328">
        <v>1</v>
      </c>
      <c r="H72" s="340"/>
      <c r="I72" s="340"/>
      <c r="J72" s="324">
        <f>G72*(H72+I72)</f>
        <v>0</v>
      </c>
    </row>
    <row r="73" spans="1:10" s="190" customFormat="1" ht="19.5" customHeight="1">
      <c r="A73" s="326" t="s">
        <v>1140</v>
      </c>
      <c r="B73" s="351" t="s">
        <v>1141</v>
      </c>
      <c r="C73" s="326"/>
      <c r="D73" s="328"/>
      <c r="E73" s="328"/>
      <c r="F73" s="328" t="s">
        <v>167</v>
      </c>
      <c r="G73" s="328">
        <v>1</v>
      </c>
      <c r="H73" s="340"/>
      <c r="I73" s="340"/>
      <c r="J73" s="324">
        <f>G73*(H73+I73)</f>
        <v>0</v>
      </c>
    </row>
    <row r="74" spans="1:10" s="190" customFormat="1" ht="19.5" customHeight="1">
      <c r="A74" s="326" t="s">
        <v>1142</v>
      </c>
      <c r="B74" s="351" t="s">
        <v>1143</v>
      </c>
      <c r="C74" s="326"/>
      <c r="D74" s="328"/>
      <c r="E74" s="328"/>
      <c r="F74" s="328" t="s">
        <v>1009</v>
      </c>
      <c r="G74" s="328">
        <v>1</v>
      </c>
      <c r="H74" s="340"/>
      <c r="I74" s="340"/>
      <c r="J74" s="324">
        <f>G74*(H74+I74)</f>
        <v>0</v>
      </c>
    </row>
    <row r="75" spans="1:10" ht="12.75" customHeight="1">
      <c r="A75" s="336"/>
      <c r="B75" s="336"/>
      <c r="C75" s="342"/>
      <c r="D75" s="336"/>
      <c r="E75" s="336"/>
      <c r="F75" s="336"/>
      <c r="G75" s="336"/>
      <c r="H75" s="337"/>
      <c r="I75" s="337"/>
      <c r="J75" s="337"/>
    </row>
    <row r="76" spans="1:15" s="189" customFormat="1" ht="19.5" customHeight="1">
      <c r="A76" s="345" t="s">
        <v>130</v>
      </c>
      <c r="B76" s="320" t="s">
        <v>1507</v>
      </c>
      <c r="C76" s="360"/>
      <c r="D76" s="345"/>
      <c r="E76" s="345"/>
      <c r="F76" s="345"/>
      <c r="G76" s="345"/>
      <c r="H76" s="349"/>
      <c r="I76" s="349" t="s">
        <v>1003</v>
      </c>
      <c r="J76" s="324">
        <f>SUM(J77:J101)</f>
        <v>0</v>
      </c>
      <c r="L76" s="289"/>
      <c r="M76" s="289"/>
      <c r="N76" s="289"/>
      <c r="O76" s="289"/>
    </row>
    <row r="77" spans="1:10" s="190" customFormat="1" ht="19.5" customHeight="1">
      <c r="A77" s="326" t="s">
        <v>1508</v>
      </c>
      <c r="B77" s="351" t="s">
        <v>1509</v>
      </c>
      <c r="C77" s="326"/>
      <c r="D77" s="328"/>
      <c r="E77" s="328"/>
      <c r="F77" s="328" t="s">
        <v>1009</v>
      </c>
      <c r="G77" s="328">
        <v>116</v>
      </c>
      <c r="H77" s="340"/>
      <c r="I77" s="340"/>
      <c r="J77" s="324">
        <f aca="true" t="shared" si="3" ref="J77:J101">G77*(H77+I77)</f>
        <v>0</v>
      </c>
    </row>
    <row r="78" spans="1:10" s="190" customFormat="1" ht="19.5" customHeight="1">
      <c r="A78" s="326" t="s">
        <v>1510</v>
      </c>
      <c r="B78" s="351" t="s">
        <v>1511</v>
      </c>
      <c r="C78" s="326"/>
      <c r="D78" s="328"/>
      <c r="E78" s="328"/>
      <c r="F78" s="328" t="s">
        <v>1009</v>
      </c>
      <c r="G78" s="328">
        <v>2</v>
      </c>
      <c r="H78" s="340"/>
      <c r="I78" s="340"/>
      <c r="J78" s="324">
        <f t="shared" si="3"/>
        <v>0</v>
      </c>
    </row>
    <row r="79" spans="1:10" s="190" customFormat="1" ht="19.5" customHeight="1">
      <c r="A79" s="326" t="s">
        <v>1512</v>
      </c>
      <c r="B79" s="351" t="s">
        <v>1513</v>
      </c>
      <c r="C79" s="326"/>
      <c r="D79" s="328"/>
      <c r="E79" s="328"/>
      <c r="F79" s="328" t="s">
        <v>1009</v>
      </c>
      <c r="G79" s="328">
        <v>20</v>
      </c>
      <c r="H79" s="340"/>
      <c r="I79" s="340"/>
      <c r="J79" s="324">
        <f t="shared" si="3"/>
        <v>0</v>
      </c>
    </row>
    <row r="80" spans="1:10" s="190" customFormat="1" ht="19.5" customHeight="1">
      <c r="A80" s="326" t="s">
        <v>1514</v>
      </c>
      <c r="B80" s="351" t="s">
        <v>1515</v>
      </c>
      <c r="C80" s="326"/>
      <c r="D80" s="328"/>
      <c r="E80" s="328"/>
      <c r="F80" s="328" t="s">
        <v>1009</v>
      </c>
      <c r="G80" s="328">
        <v>40</v>
      </c>
      <c r="H80" s="340"/>
      <c r="I80" s="340"/>
      <c r="J80" s="324">
        <f>G80*(H80+I80)</f>
        <v>0</v>
      </c>
    </row>
    <row r="81" spans="1:10" s="190" customFormat="1" ht="19.5" customHeight="1">
      <c r="A81" s="326" t="s">
        <v>1516</v>
      </c>
      <c r="B81" s="351" t="s">
        <v>1517</v>
      </c>
      <c r="C81" s="326"/>
      <c r="D81" s="328"/>
      <c r="E81" s="328"/>
      <c r="F81" s="328" t="s">
        <v>1009</v>
      </c>
      <c r="G81" s="328">
        <v>10</v>
      </c>
      <c r="H81" s="340"/>
      <c r="I81" s="340"/>
      <c r="J81" s="324">
        <f>G81*(H81+I81)</f>
        <v>0</v>
      </c>
    </row>
    <row r="82" spans="1:10" s="190" customFormat="1" ht="19.5" customHeight="1">
      <c r="A82" s="326" t="s">
        <v>1518</v>
      </c>
      <c r="B82" s="351" t="s">
        <v>1519</v>
      </c>
      <c r="C82" s="326"/>
      <c r="D82" s="328"/>
      <c r="E82" s="328"/>
      <c r="F82" s="328" t="s">
        <v>1009</v>
      </c>
      <c r="G82" s="328">
        <v>1</v>
      </c>
      <c r="H82" s="340"/>
      <c r="I82" s="340"/>
      <c r="J82" s="324">
        <f t="shared" si="3"/>
        <v>0</v>
      </c>
    </row>
    <row r="83" spans="1:10" s="190" customFormat="1" ht="19.5" customHeight="1">
      <c r="A83" s="326" t="s">
        <v>1520</v>
      </c>
      <c r="B83" s="351" t="s">
        <v>1521</v>
      </c>
      <c r="C83" s="326"/>
      <c r="D83" s="328"/>
      <c r="E83" s="328"/>
      <c r="F83" s="328" t="s">
        <v>1009</v>
      </c>
      <c r="G83" s="328">
        <v>2</v>
      </c>
      <c r="H83" s="340"/>
      <c r="I83" s="340"/>
      <c r="J83" s="324">
        <f t="shared" si="3"/>
        <v>0</v>
      </c>
    </row>
    <row r="84" spans="1:10" s="190" customFormat="1" ht="19.5" customHeight="1">
      <c r="A84" s="326" t="s">
        <v>1522</v>
      </c>
      <c r="B84" s="351" t="s">
        <v>1523</v>
      </c>
      <c r="C84" s="326"/>
      <c r="D84" s="328"/>
      <c r="E84" s="328"/>
      <c r="F84" s="328" t="s">
        <v>1009</v>
      </c>
      <c r="G84" s="328">
        <v>3</v>
      </c>
      <c r="H84" s="340"/>
      <c r="I84" s="340"/>
      <c r="J84" s="324">
        <f t="shared" si="3"/>
        <v>0</v>
      </c>
    </row>
    <row r="85" spans="1:10" s="190" customFormat="1" ht="19.5" customHeight="1">
      <c r="A85" s="326" t="s">
        <v>1524</v>
      </c>
      <c r="B85" s="351" t="s">
        <v>1525</v>
      </c>
      <c r="C85" s="326"/>
      <c r="D85" s="328"/>
      <c r="E85" s="328"/>
      <c r="F85" s="328" t="s">
        <v>1009</v>
      </c>
      <c r="G85" s="328">
        <v>6</v>
      </c>
      <c r="H85" s="340"/>
      <c r="I85" s="340"/>
      <c r="J85" s="324">
        <f t="shared" si="3"/>
        <v>0</v>
      </c>
    </row>
    <row r="86" spans="1:10" s="190" customFormat="1" ht="19.5" customHeight="1">
      <c r="A86" s="326" t="s">
        <v>1526</v>
      </c>
      <c r="B86" s="351" t="s">
        <v>1527</v>
      </c>
      <c r="C86" s="326"/>
      <c r="D86" s="328"/>
      <c r="E86" s="328"/>
      <c r="F86" s="328" t="s">
        <v>1009</v>
      </c>
      <c r="G86" s="328">
        <v>1</v>
      </c>
      <c r="H86" s="340"/>
      <c r="I86" s="340"/>
      <c r="J86" s="324">
        <f t="shared" si="3"/>
        <v>0</v>
      </c>
    </row>
    <row r="87" spans="1:10" s="190" customFormat="1" ht="19.5" customHeight="1">
      <c r="A87" s="326" t="s">
        <v>1528</v>
      </c>
      <c r="B87" s="351" t="s">
        <v>1529</v>
      </c>
      <c r="C87" s="326"/>
      <c r="D87" s="328"/>
      <c r="E87" s="328"/>
      <c r="F87" s="328" t="s">
        <v>385</v>
      </c>
      <c r="G87" s="328">
        <v>150</v>
      </c>
      <c r="H87" s="340"/>
      <c r="I87" s="340"/>
      <c r="J87" s="324">
        <f t="shared" si="3"/>
        <v>0</v>
      </c>
    </row>
    <row r="88" spans="1:10" s="190" customFormat="1" ht="19.5" customHeight="1">
      <c r="A88" s="326" t="s">
        <v>1530</v>
      </c>
      <c r="B88" s="351" t="s">
        <v>1531</v>
      </c>
      <c r="C88" s="326"/>
      <c r="D88" s="328"/>
      <c r="E88" s="328"/>
      <c r="F88" s="328" t="s">
        <v>385</v>
      </c>
      <c r="G88" s="328">
        <v>20</v>
      </c>
      <c r="H88" s="340"/>
      <c r="I88" s="340"/>
      <c r="J88" s="324">
        <f t="shared" si="3"/>
        <v>0</v>
      </c>
    </row>
    <row r="89" spans="1:10" s="190" customFormat="1" ht="19.5" customHeight="1">
      <c r="A89" s="326" t="s">
        <v>1532</v>
      </c>
      <c r="B89" s="351" t="s">
        <v>1533</v>
      </c>
      <c r="C89" s="326"/>
      <c r="D89" s="328"/>
      <c r="E89" s="328"/>
      <c r="F89" s="328" t="s">
        <v>385</v>
      </c>
      <c r="G89" s="328">
        <v>6</v>
      </c>
      <c r="H89" s="340"/>
      <c r="I89" s="340"/>
      <c r="J89" s="324">
        <f t="shared" si="3"/>
        <v>0</v>
      </c>
    </row>
    <row r="90" spans="1:10" s="190" customFormat="1" ht="19.5" customHeight="1">
      <c r="A90" s="326" t="s">
        <v>1534</v>
      </c>
      <c r="B90" s="351" t="s">
        <v>1535</v>
      </c>
      <c r="C90" s="326"/>
      <c r="D90" s="328"/>
      <c r="E90" s="328"/>
      <c r="F90" s="328" t="s">
        <v>1009</v>
      </c>
      <c r="G90" s="328">
        <v>2</v>
      </c>
      <c r="H90" s="340"/>
      <c r="I90" s="340"/>
      <c r="J90" s="324">
        <f t="shared" si="3"/>
        <v>0</v>
      </c>
    </row>
    <row r="91" spans="1:10" s="190" customFormat="1" ht="19.5" customHeight="1">
      <c r="A91" s="326" t="s">
        <v>1536</v>
      </c>
      <c r="B91" s="351" t="s">
        <v>1537</v>
      </c>
      <c r="C91" s="326"/>
      <c r="D91" s="328"/>
      <c r="E91" s="328"/>
      <c r="F91" s="328" t="s">
        <v>1009</v>
      </c>
      <c r="G91" s="328">
        <v>50</v>
      </c>
      <c r="H91" s="340"/>
      <c r="I91" s="340"/>
      <c r="J91" s="324">
        <f t="shared" si="3"/>
        <v>0</v>
      </c>
    </row>
    <row r="92" spans="1:10" s="190" customFormat="1" ht="19.5" customHeight="1">
      <c r="A92" s="326" t="s">
        <v>1538</v>
      </c>
      <c r="B92" s="351" t="s">
        <v>1539</v>
      </c>
      <c r="C92" s="326"/>
      <c r="D92" s="328"/>
      <c r="E92" s="328"/>
      <c r="F92" s="328" t="s">
        <v>1009</v>
      </c>
      <c r="G92" s="328">
        <v>6</v>
      </c>
      <c r="H92" s="340"/>
      <c r="I92" s="340"/>
      <c r="J92" s="324">
        <f t="shared" si="3"/>
        <v>0</v>
      </c>
    </row>
    <row r="93" spans="1:10" s="190" customFormat="1" ht="19.5" customHeight="1">
      <c r="A93" s="326" t="s">
        <v>1540</v>
      </c>
      <c r="B93" s="351" t="s">
        <v>1541</v>
      </c>
      <c r="C93" s="326"/>
      <c r="D93" s="328"/>
      <c r="E93" s="328"/>
      <c r="F93" s="328" t="s">
        <v>1009</v>
      </c>
      <c r="G93" s="328">
        <v>2</v>
      </c>
      <c r="H93" s="340"/>
      <c r="I93" s="340"/>
      <c r="J93" s="324">
        <f t="shared" si="3"/>
        <v>0</v>
      </c>
    </row>
    <row r="94" spans="1:10" s="190" customFormat="1" ht="19.5" customHeight="1">
      <c r="A94" s="326" t="s">
        <v>1542</v>
      </c>
      <c r="B94" s="351" t="s">
        <v>1543</v>
      </c>
      <c r="C94" s="326"/>
      <c r="D94" s="328"/>
      <c r="E94" s="328"/>
      <c r="F94" s="328" t="s">
        <v>1009</v>
      </c>
      <c r="G94" s="328">
        <v>30</v>
      </c>
      <c r="H94" s="340"/>
      <c r="I94" s="340"/>
      <c r="J94" s="324">
        <f>G94*(H94+I94)</f>
        <v>0</v>
      </c>
    </row>
    <row r="95" spans="1:10" s="190" customFormat="1" ht="19.5" customHeight="1">
      <c r="A95" s="326" t="s">
        <v>1544</v>
      </c>
      <c r="B95" s="351" t="s">
        <v>1545</v>
      </c>
      <c r="C95" s="326"/>
      <c r="D95" s="328"/>
      <c r="E95" s="328"/>
      <c r="F95" s="328" t="s">
        <v>1009</v>
      </c>
      <c r="G95" s="328">
        <v>3</v>
      </c>
      <c r="H95" s="340"/>
      <c r="I95" s="340"/>
      <c r="J95" s="324">
        <f>G95*(H95+I95)</f>
        <v>0</v>
      </c>
    </row>
    <row r="96" spans="1:10" s="190" customFormat="1" ht="19.5" customHeight="1">
      <c r="A96" s="326" t="s">
        <v>1546</v>
      </c>
      <c r="B96" s="351" t="s">
        <v>1547</v>
      </c>
      <c r="C96" s="326"/>
      <c r="D96" s="328"/>
      <c r="E96" s="328"/>
      <c r="F96" s="328" t="s">
        <v>385</v>
      </c>
      <c r="G96" s="328">
        <v>2</v>
      </c>
      <c r="H96" s="340"/>
      <c r="I96" s="340"/>
      <c r="J96" s="324">
        <f t="shared" si="3"/>
        <v>0</v>
      </c>
    </row>
    <row r="97" spans="1:10" s="190" customFormat="1" ht="19.5" customHeight="1">
      <c r="A97" s="326" t="s">
        <v>1548</v>
      </c>
      <c r="B97" s="351" t="s">
        <v>1549</v>
      </c>
      <c r="C97" s="326"/>
      <c r="D97" s="328"/>
      <c r="E97" s="328"/>
      <c r="F97" s="328" t="s">
        <v>1009</v>
      </c>
      <c r="G97" s="328">
        <v>2</v>
      </c>
      <c r="H97" s="340"/>
      <c r="I97" s="340"/>
      <c r="J97" s="324">
        <f t="shared" si="3"/>
        <v>0</v>
      </c>
    </row>
    <row r="98" spans="1:10" s="190" customFormat="1" ht="19.5" customHeight="1">
      <c r="A98" s="326" t="s">
        <v>1550</v>
      </c>
      <c r="B98" s="351" t="s">
        <v>1551</v>
      </c>
      <c r="C98" s="326"/>
      <c r="D98" s="328"/>
      <c r="E98" s="328"/>
      <c r="F98" s="328" t="s">
        <v>1009</v>
      </c>
      <c r="G98" s="328">
        <v>2</v>
      </c>
      <c r="H98" s="340"/>
      <c r="I98" s="340"/>
      <c r="J98" s="324">
        <f t="shared" si="3"/>
        <v>0</v>
      </c>
    </row>
    <row r="99" spans="1:10" s="190" customFormat="1" ht="19.5" customHeight="1">
      <c r="A99" s="326" t="s">
        <v>1552</v>
      </c>
      <c r="B99" s="351" t="s">
        <v>1553</v>
      </c>
      <c r="C99" s="326"/>
      <c r="D99" s="328"/>
      <c r="E99" s="328"/>
      <c r="F99" s="328" t="s">
        <v>1554</v>
      </c>
      <c r="G99" s="328">
        <v>120</v>
      </c>
      <c r="H99" s="340"/>
      <c r="I99" s="340"/>
      <c r="J99" s="324">
        <f t="shared" si="3"/>
        <v>0</v>
      </c>
    </row>
    <row r="100" spans="1:10" s="190" customFormat="1" ht="19.5" customHeight="1">
      <c r="A100" s="326" t="s">
        <v>1555</v>
      </c>
      <c r="B100" s="351" t="s">
        <v>1556</v>
      </c>
      <c r="C100" s="326"/>
      <c r="D100" s="328"/>
      <c r="E100" s="328"/>
      <c r="F100" s="328" t="s">
        <v>1554</v>
      </c>
      <c r="G100" s="328">
        <v>8</v>
      </c>
      <c r="H100" s="340"/>
      <c r="I100" s="340"/>
      <c r="J100" s="324">
        <f t="shared" si="3"/>
        <v>0</v>
      </c>
    </row>
    <row r="101" spans="1:10" s="190" customFormat="1" ht="19.5" customHeight="1">
      <c r="A101" s="326" t="s">
        <v>1557</v>
      </c>
      <c r="B101" s="351" t="s">
        <v>1558</v>
      </c>
      <c r="C101" s="326"/>
      <c r="D101" s="328"/>
      <c r="E101" s="328"/>
      <c r="F101" s="328" t="s">
        <v>1554</v>
      </c>
      <c r="G101" s="328">
        <v>40</v>
      </c>
      <c r="H101" s="340"/>
      <c r="I101" s="340"/>
      <c r="J101" s="324">
        <f t="shared" si="3"/>
        <v>0</v>
      </c>
    </row>
    <row r="102" spans="1:10" ht="12.75" customHeight="1">
      <c r="A102" s="308"/>
      <c r="B102" s="308"/>
      <c r="C102" s="309"/>
      <c r="D102" s="308"/>
      <c r="E102" s="308"/>
      <c r="F102" s="308"/>
      <c r="G102" s="308"/>
      <c r="H102" s="310"/>
      <c r="I102" s="310"/>
      <c r="J102" s="310"/>
    </row>
  </sheetData>
  <sheetProtection password="C0EE" sheet="1" objects="1"/>
  <printOptions gridLines="1" horizontalCentered="1"/>
  <pageMargins left="0.5905511811023623" right="0.5905511811023623" top="0.9055118110236221" bottom="0.7874015748031497" header="0.5118110236220472" footer="0.1968503937007874"/>
  <pageSetup fitToHeight="100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view="pageBreakPreview" zoomScaleSheetLayoutView="100" zoomScalePageLayoutView="0" workbookViewId="0" topLeftCell="A1">
      <selection activeCell="H22" sqref="H22"/>
    </sheetView>
  </sheetViews>
  <sheetFormatPr defaultColWidth="9.140625" defaultRowHeight="12.75" customHeight="1"/>
  <cols>
    <col min="1" max="1" width="7.7109375" style="194" customWidth="1"/>
    <col min="2" max="2" width="51.421875" style="194" customWidth="1"/>
    <col min="3" max="3" width="12.28125" style="194" customWidth="1"/>
    <col min="4" max="4" width="12.8515625" style="194" hidden="1" customWidth="1"/>
    <col min="5" max="5" width="13.421875" style="197" hidden="1" customWidth="1"/>
    <col min="6" max="6" width="6.00390625" style="194" customWidth="1"/>
    <col min="7" max="7" width="7.28125" style="194" customWidth="1"/>
    <col min="8" max="8" width="10.8515625" style="242" customWidth="1"/>
    <col min="9" max="9" width="13.421875" style="246" customWidth="1"/>
    <col min="10" max="10" width="15.140625" style="246" customWidth="1"/>
    <col min="11" max="253" width="9.140625" style="194" customWidth="1"/>
    <col min="254" max="16384" width="9.140625" style="196" customWidth="1"/>
  </cols>
  <sheetData>
    <row r="1" spans="1:10" s="2" customFormat="1" ht="18" customHeight="1">
      <c r="A1" s="234" t="s">
        <v>89</v>
      </c>
      <c r="B1" s="150"/>
      <c r="C1" s="150"/>
      <c r="D1" s="150"/>
      <c r="E1" s="150"/>
      <c r="F1" s="150"/>
      <c r="G1" s="150"/>
      <c r="H1" s="235"/>
      <c r="I1" s="243"/>
      <c r="J1" s="243"/>
    </row>
    <row r="2" spans="1:10" s="2" customFormat="1" ht="11.25" customHeight="1">
      <c r="A2" s="236" t="s">
        <v>76</v>
      </c>
      <c r="B2" s="237" t="str">
        <f>'Krycí list'!$E$5</f>
        <v>Podkrovní byty Dr. Zikmunda Wintra 432-8</v>
      </c>
      <c r="C2" s="118"/>
      <c r="D2" s="118"/>
      <c r="E2" s="118"/>
      <c r="F2" s="118"/>
      <c r="G2" s="118"/>
      <c r="H2" s="238"/>
      <c r="I2" s="244"/>
      <c r="J2" s="244"/>
    </row>
    <row r="3" spans="1:10" s="2" customFormat="1" ht="11.25" customHeight="1">
      <c r="A3" s="236" t="s">
        <v>77</v>
      </c>
      <c r="B3" s="118"/>
      <c r="C3" s="118" t="str">
        <f>'[2]Krycí list'!E7</f>
        <v> </v>
      </c>
      <c r="D3" s="118"/>
      <c r="E3" s="118"/>
      <c r="F3" s="118"/>
      <c r="G3" s="118"/>
      <c r="H3" s="238"/>
      <c r="I3" s="244"/>
      <c r="J3" s="244"/>
    </row>
    <row r="4" spans="1:10" s="2" customFormat="1" ht="11.25" customHeight="1">
      <c r="A4" s="236" t="s">
        <v>78</v>
      </c>
      <c r="B4" s="118"/>
      <c r="C4" s="118" t="str">
        <f>'[2]Krycí list'!E9</f>
        <v> </v>
      </c>
      <c r="D4" s="118"/>
      <c r="E4" s="118"/>
      <c r="F4" s="118"/>
      <c r="G4" s="118"/>
      <c r="H4" s="238"/>
      <c r="I4" s="244"/>
      <c r="J4" s="244"/>
    </row>
    <row r="5" spans="1:10" s="2" customFormat="1" ht="11.25" customHeight="1">
      <c r="A5" s="118" t="s">
        <v>90</v>
      </c>
      <c r="B5" s="118"/>
      <c r="C5" s="118" t="str">
        <f>'[2]Krycí list'!P5</f>
        <v> </v>
      </c>
      <c r="D5" s="118"/>
      <c r="E5" s="118"/>
      <c r="F5" s="118"/>
      <c r="G5" s="118"/>
      <c r="H5" s="238"/>
      <c r="I5" s="244"/>
      <c r="J5" s="244"/>
    </row>
    <row r="6" spans="1:10" s="2" customFormat="1" ht="6" customHeight="1">
      <c r="A6" s="118"/>
      <c r="B6" s="118"/>
      <c r="C6" s="118"/>
      <c r="D6" s="118"/>
      <c r="E6" s="118"/>
      <c r="F6" s="118"/>
      <c r="G6" s="118"/>
      <c r="H6" s="238"/>
      <c r="I6" s="244"/>
      <c r="J6" s="244"/>
    </row>
    <row r="7" spans="1:10" s="2" customFormat="1" ht="11.25" customHeight="1">
      <c r="A7" s="118" t="s">
        <v>80</v>
      </c>
      <c r="B7" s="118"/>
      <c r="C7" s="118" t="str">
        <f>'[2]Krycí list'!E26</f>
        <v> </v>
      </c>
      <c r="D7" s="118"/>
      <c r="E7" s="118"/>
      <c r="F7" s="118"/>
      <c r="G7" s="118"/>
      <c r="H7" s="238"/>
      <c r="I7" s="244"/>
      <c r="J7" s="244"/>
    </row>
    <row r="8" spans="1:10" s="2" customFormat="1" ht="11.25" customHeight="1">
      <c r="A8" s="118" t="s">
        <v>81</v>
      </c>
      <c r="B8" s="118"/>
      <c r="C8" s="118" t="str">
        <f>'[2]Krycí list'!E28</f>
        <v> </v>
      </c>
      <c r="D8" s="118"/>
      <c r="E8" s="118"/>
      <c r="F8" s="118"/>
      <c r="G8" s="118"/>
      <c r="H8" s="238"/>
      <c r="I8" s="244"/>
      <c r="J8" s="244"/>
    </row>
    <row r="9" spans="1:10" s="2" customFormat="1" ht="11.25" customHeight="1">
      <c r="A9" s="118" t="s">
        <v>82</v>
      </c>
      <c r="B9" s="247" t="str">
        <f>'Krycí list'!$O$31</f>
        <v>20.1.2015</v>
      </c>
      <c r="C9" s="118"/>
      <c r="D9" s="118"/>
      <c r="E9" s="118"/>
      <c r="F9" s="118"/>
      <c r="G9" s="118"/>
      <c r="H9" s="238"/>
      <c r="I9" s="244"/>
      <c r="J9" s="244"/>
    </row>
    <row r="10" spans="1:10" s="2" customFormat="1" ht="5.25" customHeight="1">
      <c r="A10" s="150"/>
      <c r="B10" s="150"/>
      <c r="C10" s="150"/>
      <c r="D10" s="150"/>
      <c r="E10" s="150"/>
      <c r="F10" s="150"/>
      <c r="G10" s="150"/>
      <c r="H10" s="235"/>
      <c r="I10" s="243"/>
      <c r="J10" s="243"/>
    </row>
    <row r="11" spans="1:10" s="2" customFormat="1" ht="30" customHeight="1">
      <c r="A11" s="122" t="s">
        <v>91</v>
      </c>
      <c r="B11" s="123" t="s">
        <v>995</v>
      </c>
      <c r="C11" s="239" t="s">
        <v>1295</v>
      </c>
      <c r="D11" s="239" t="s">
        <v>996</v>
      </c>
      <c r="E11" s="239" t="s">
        <v>997</v>
      </c>
      <c r="F11" s="123" t="s">
        <v>95</v>
      </c>
      <c r="G11" s="239" t="s">
        <v>998</v>
      </c>
      <c r="H11" s="240" t="s">
        <v>999</v>
      </c>
      <c r="I11" s="245" t="s">
        <v>1000</v>
      </c>
      <c r="J11" s="245" t="s">
        <v>1296</v>
      </c>
    </row>
    <row r="12" spans="1:10" s="2" customFormat="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</row>
    <row r="13" spans="1:10" s="2" customFormat="1" ht="3.75" customHeight="1">
      <c r="A13" s="150"/>
      <c r="B13" s="150"/>
      <c r="C13" s="150"/>
      <c r="D13" s="150"/>
      <c r="E13" s="150"/>
      <c r="F13" s="150"/>
      <c r="G13" s="150"/>
      <c r="H13" s="235"/>
      <c r="I13" s="243"/>
      <c r="J13" s="243"/>
    </row>
    <row r="14" spans="1:10" s="188" customFormat="1" ht="19.5" customHeight="1">
      <c r="A14" s="312"/>
      <c r="B14" s="313" t="s">
        <v>1144</v>
      </c>
      <c r="C14" s="312"/>
      <c r="D14" s="314"/>
      <c r="E14" s="315"/>
      <c r="F14" s="316"/>
      <c r="G14" s="312"/>
      <c r="H14" s="317"/>
      <c r="I14" s="318"/>
      <c r="J14" s="318">
        <f>J15+J25+J28+J32</f>
        <v>0</v>
      </c>
    </row>
    <row r="15" spans="1:10" s="192" customFormat="1" ht="19.5" customHeight="1">
      <c r="A15" s="319" t="s">
        <v>109</v>
      </c>
      <c r="B15" s="320" t="s">
        <v>1145</v>
      </c>
      <c r="C15" s="321"/>
      <c r="D15" s="322"/>
      <c r="E15" s="321"/>
      <c r="F15" s="323"/>
      <c r="G15" s="321"/>
      <c r="H15" s="324"/>
      <c r="I15" s="325" t="s">
        <v>1003</v>
      </c>
      <c r="J15" s="325">
        <f>SUM(J16:J23)</f>
        <v>0</v>
      </c>
    </row>
    <row r="16" spans="1:10" s="191" customFormat="1" ht="19.5" customHeight="1">
      <c r="A16" s="326" t="s">
        <v>1004</v>
      </c>
      <c r="B16" s="327" t="s">
        <v>1146</v>
      </c>
      <c r="C16" s="328"/>
      <c r="D16" s="328" t="s">
        <v>1147</v>
      </c>
      <c r="E16" s="328" t="s">
        <v>1148</v>
      </c>
      <c r="F16" s="328" t="s">
        <v>385</v>
      </c>
      <c r="G16" s="329">
        <v>60</v>
      </c>
      <c r="H16" s="340"/>
      <c r="I16" s="341"/>
      <c r="J16" s="331">
        <f aca="true" t="shared" si="0" ref="J16:J23">G16*(H16+I16)</f>
        <v>0</v>
      </c>
    </row>
    <row r="17" spans="1:10" s="191" customFormat="1" ht="19.5" customHeight="1">
      <c r="A17" s="326" t="s">
        <v>1010</v>
      </c>
      <c r="B17" s="327" t="s">
        <v>1149</v>
      </c>
      <c r="C17" s="328"/>
      <c r="D17" s="328" t="s">
        <v>1030</v>
      </c>
      <c r="E17" s="328" t="s">
        <v>1031</v>
      </c>
      <c r="F17" s="332" t="s">
        <v>1009</v>
      </c>
      <c r="G17" s="329">
        <v>1</v>
      </c>
      <c r="H17" s="340"/>
      <c r="I17" s="341"/>
      <c r="J17" s="331">
        <f t="shared" si="0"/>
        <v>0</v>
      </c>
    </row>
    <row r="18" spans="1:10" s="191" customFormat="1" ht="19.5" customHeight="1">
      <c r="A18" s="326" t="s">
        <v>1011</v>
      </c>
      <c r="B18" s="327" t="s">
        <v>1150</v>
      </c>
      <c r="C18" s="328"/>
      <c r="D18" s="328" t="s">
        <v>1025</v>
      </c>
      <c r="E18" s="328" t="s">
        <v>1026</v>
      </c>
      <c r="F18" s="332" t="s">
        <v>1009</v>
      </c>
      <c r="G18" s="329">
        <v>1</v>
      </c>
      <c r="H18" s="340"/>
      <c r="I18" s="341"/>
      <c r="J18" s="331">
        <f t="shared" si="0"/>
        <v>0</v>
      </c>
    </row>
    <row r="19" spans="1:10" s="191" customFormat="1" ht="19.5" customHeight="1">
      <c r="A19" s="326" t="s">
        <v>1013</v>
      </c>
      <c r="B19" s="327" t="s">
        <v>1151</v>
      </c>
      <c r="C19" s="328"/>
      <c r="D19" s="328"/>
      <c r="E19" s="328"/>
      <c r="F19" s="332" t="s">
        <v>1009</v>
      </c>
      <c r="G19" s="329">
        <v>2</v>
      </c>
      <c r="H19" s="340"/>
      <c r="I19" s="341"/>
      <c r="J19" s="331">
        <f t="shared" si="0"/>
        <v>0</v>
      </c>
    </row>
    <row r="20" spans="1:10" s="191" customFormat="1" ht="19.5" customHeight="1">
      <c r="A20" s="326" t="s">
        <v>1014</v>
      </c>
      <c r="B20" s="333" t="s">
        <v>1152</v>
      </c>
      <c r="C20" s="328"/>
      <c r="D20" s="334" t="s">
        <v>1025</v>
      </c>
      <c r="E20" s="328" t="s">
        <v>1153</v>
      </c>
      <c r="F20" s="332" t="s">
        <v>1009</v>
      </c>
      <c r="G20" s="329">
        <v>2</v>
      </c>
      <c r="H20" s="340"/>
      <c r="I20" s="341"/>
      <c r="J20" s="331">
        <f t="shared" si="0"/>
        <v>0</v>
      </c>
    </row>
    <row r="21" spans="1:10" s="191" customFormat="1" ht="19.5" customHeight="1">
      <c r="A21" s="326" t="s">
        <v>1015</v>
      </c>
      <c r="B21" s="327" t="s">
        <v>1154</v>
      </c>
      <c r="C21" s="328"/>
      <c r="D21" s="328"/>
      <c r="E21" s="328"/>
      <c r="F21" s="332" t="s">
        <v>1009</v>
      </c>
      <c r="G21" s="329">
        <v>1</v>
      </c>
      <c r="H21" s="340"/>
      <c r="I21" s="341"/>
      <c r="J21" s="331">
        <f t="shared" si="0"/>
        <v>0</v>
      </c>
    </row>
    <row r="22" spans="1:10" s="191" customFormat="1" ht="19.5" customHeight="1">
      <c r="A22" s="326" t="s">
        <v>1016</v>
      </c>
      <c r="B22" s="327" t="s">
        <v>1155</v>
      </c>
      <c r="C22" s="328" t="s">
        <v>1056</v>
      </c>
      <c r="D22" s="334" t="s">
        <v>1053</v>
      </c>
      <c r="E22" s="328" t="s">
        <v>1054</v>
      </c>
      <c r="F22" s="332" t="s">
        <v>385</v>
      </c>
      <c r="G22" s="329">
        <v>20</v>
      </c>
      <c r="H22" s="340"/>
      <c r="I22" s="341"/>
      <c r="J22" s="331">
        <f t="shared" si="0"/>
        <v>0</v>
      </c>
    </row>
    <row r="23" spans="1:10" s="191" customFormat="1" ht="19.5" customHeight="1">
      <c r="A23" s="326" t="s">
        <v>1156</v>
      </c>
      <c r="B23" s="327" t="s">
        <v>1157</v>
      </c>
      <c r="C23" s="328"/>
      <c r="D23" s="334"/>
      <c r="E23" s="328"/>
      <c r="F23" s="332" t="s">
        <v>1009</v>
      </c>
      <c r="G23" s="329">
        <v>4</v>
      </c>
      <c r="H23" s="340"/>
      <c r="I23" s="341"/>
      <c r="J23" s="331">
        <f t="shared" si="0"/>
        <v>0</v>
      </c>
    </row>
    <row r="24" spans="1:10" s="191" customFormat="1" ht="19.5" customHeight="1">
      <c r="A24" s="326"/>
      <c r="B24" s="327"/>
      <c r="C24" s="328"/>
      <c r="D24" s="334"/>
      <c r="E24" s="328"/>
      <c r="F24" s="332"/>
      <c r="G24" s="328"/>
      <c r="H24" s="330"/>
      <c r="I24" s="331"/>
      <c r="J24" s="331"/>
    </row>
    <row r="25" spans="1:10" s="192" customFormat="1" ht="19.5" customHeight="1">
      <c r="A25" s="319" t="s">
        <v>107</v>
      </c>
      <c r="B25" s="335" t="s">
        <v>1158</v>
      </c>
      <c r="C25" s="321"/>
      <c r="D25" s="322"/>
      <c r="E25" s="321"/>
      <c r="F25" s="323"/>
      <c r="G25" s="321"/>
      <c r="H25" s="324"/>
      <c r="I25" s="325" t="s">
        <v>1003</v>
      </c>
      <c r="J25" s="325">
        <f>J26</f>
        <v>0</v>
      </c>
    </row>
    <row r="26" spans="1:10" s="191" customFormat="1" ht="19.5" customHeight="1">
      <c r="A26" s="326" t="s">
        <v>1061</v>
      </c>
      <c r="B26" s="327" t="s">
        <v>1159</v>
      </c>
      <c r="C26" s="328"/>
      <c r="D26" s="334" t="s">
        <v>1025</v>
      </c>
      <c r="E26" s="328"/>
      <c r="F26" s="332" t="s">
        <v>1009</v>
      </c>
      <c r="G26" s="328">
        <v>1</v>
      </c>
      <c r="H26" s="340"/>
      <c r="I26" s="341"/>
      <c r="J26" s="331">
        <f>G26*(H26+I26)</f>
        <v>0</v>
      </c>
    </row>
    <row r="27" spans="1:10" s="191" customFormat="1" ht="19.5" customHeight="1">
      <c r="A27" s="336"/>
      <c r="B27" s="336"/>
      <c r="C27" s="336"/>
      <c r="D27" s="336"/>
      <c r="E27" s="336"/>
      <c r="F27" s="336"/>
      <c r="G27" s="336"/>
      <c r="H27" s="337"/>
      <c r="I27" s="338"/>
      <c r="J27" s="331"/>
    </row>
    <row r="28" spans="1:10" s="192" customFormat="1" ht="19.5" customHeight="1">
      <c r="A28" s="319" t="s">
        <v>122</v>
      </c>
      <c r="B28" s="335" t="s">
        <v>1160</v>
      </c>
      <c r="C28" s="321"/>
      <c r="D28" s="322"/>
      <c r="E28" s="321"/>
      <c r="F28" s="323"/>
      <c r="G28" s="321"/>
      <c r="H28" s="324"/>
      <c r="I28" s="325" t="s">
        <v>1003</v>
      </c>
      <c r="J28" s="325">
        <f>SUM(J29:J30)</f>
        <v>0</v>
      </c>
    </row>
    <row r="29" spans="1:10" s="191" customFormat="1" ht="19.5" customHeight="1">
      <c r="A29" s="326" t="s">
        <v>1082</v>
      </c>
      <c r="B29" s="327" t="s">
        <v>1161</v>
      </c>
      <c r="C29" s="328"/>
      <c r="D29" s="334" t="s">
        <v>1162</v>
      </c>
      <c r="E29" s="328"/>
      <c r="F29" s="332" t="s">
        <v>1009</v>
      </c>
      <c r="G29" s="328">
        <v>2</v>
      </c>
      <c r="H29" s="340"/>
      <c r="I29" s="341"/>
      <c r="J29" s="331">
        <f>G29*(H29+I29)</f>
        <v>0</v>
      </c>
    </row>
    <row r="30" spans="1:10" s="191" customFormat="1" ht="19.5" customHeight="1">
      <c r="A30" s="326" t="s">
        <v>1085</v>
      </c>
      <c r="B30" s="327" t="s">
        <v>1163</v>
      </c>
      <c r="C30" s="328"/>
      <c r="D30" s="334"/>
      <c r="E30" s="328"/>
      <c r="F30" s="332" t="s">
        <v>1009</v>
      </c>
      <c r="G30" s="328">
        <v>2</v>
      </c>
      <c r="H30" s="340"/>
      <c r="I30" s="341"/>
      <c r="J30" s="331">
        <f>G30*(H30+I30)</f>
        <v>0</v>
      </c>
    </row>
    <row r="31" spans="1:10" ht="19.5" customHeight="1">
      <c r="A31" s="326"/>
      <c r="B31" s="327"/>
      <c r="C31" s="328"/>
      <c r="D31" s="334"/>
      <c r="E31" s="328"/>
      <c r="F31" s="332"/>
      <c r="G31" s="328"/>
      <c r="H31" s="330"/>
      <c r="I31" s="331"/>
      <c r="J31" s="331"/>
    </row>
    <row r="32" spans="1:10" s="192" customFormat="1" ht="19.5" customHeight="1">
      <c r="A32" s="319" t="s">
        <v>128</v>
      </c>
      <c r="B32" s="335" t="s">
        <v>1164</v>
      </c>
      <c r="C32" s="321"/>
      <c r="D32" s="322"/>
      <c r="E32" s="321"/>
      <c r="F32" s="323"/>
      <c r="G32" s="321"/>
      <c r="H32" s="324"/>
      <c r="I32" s="325" t="s">
        <v>1003</v>
      </c>
      <c r="J32" s="325">
        <f>SUM(J33:J33)</f>
        <v>0</v>
      </c>
    </row>
    <row r="33" spans="1:10" s="191" customFormat="1" ht="27.75" customHeight="1">
      <c r="A33" s="326" t="s">
        <v>1137</v>
      </c>
      <c r="B33" s="339" t="s">
        <v>1138</v>
      </c>
      <c r="C33" s="328" t="s">
        <v>1165</v>
      </c>
      <c r="D33" s="334"/>
      <c r="E33" s="328"/>
      <c r="F33" s="332" t="s">
        <v>385</v>
      </c>
      <c r="G33" s="328">
        <v>100</v>
      </c>
      <c r="H33" s="340"/>
      <c r="I33" s="341"/>
      <c r="J33" s="331">
        <f>G33*(H33+I33)</f>
        <v>0</v>
      </c>
    </row>
  </sheetData>
  <sheetProtection password="C0EE" sheet="1" objects="1"/>
  <printOptions gridLines="1" horizontalCentered="1"/>
  <pageMargins left="0.5905511811023623" right="0.5905511811023623" top="0.9055118110236221" bottom="0.5905511811023623" header="0.5118110236220472" footer="0.1968503937007874"/>
  <pageSetup fitToHeight="100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199</v>
      </c>
      <c r="B1" s="2" t="s">
        <v>935</v>
      </c>
      <c r="C1" s="2" t="s">
        <v>124</v>
      </c>
      <c r="D1" s="2" t="s">
        <v>936</v>
      </c>
      <c r="E1" s="2" t="s">
        <v>115</v>
      </c>
    </row>
    <row r="2" spans="1:5" s="2" customFormat="1" ht="12.75" customHeight="1">
      <c r="A2" s="2" t="s">
        <v>937</v>
      </c>
      <c r="B2" s="2" t="s">
        <v>937</v>
      </c>
      <c r="C2" s="2" t="s">
        <v>4</v>
      </c>
      <c r="D2" s="2" t="s">
        <v>938</v>
      </c>
      <c r="E2" s="2" t="s">
        <v>115</v>
      </c>
    </row>
    <row r="3" spans="1:5" s="2" customFormat="1" ht="12.75" customHeight="1">
      <c r="A3" s="2" t="s">
        <v>473</v>
      </c>
      <c r="B3" s="2" t="s">
        <v>939</v>
      </c>
      <c r="C3" s="2" t="s">
        <v>124</v>
      </c>
      <c r="D3" s="2" t="s">
        <v>940</v>
      </c>
      <c r="E3" s="2" t="s">
        <v>115</v>
      </c>
    </row>
    <row r="4" spans="1:5" s="2" customFormat="1" ht="12.75" customHeight="1">
      <c r="A4" s="2" t="s">
        <v>941</v>
      </c>
      <c r="B4" s="2" t="s">
        <v>942</v>
      </c>
      <c r="C4" s="2" t="s">
        <v>124</v>
      </c>
      <c r="D4" s="2" t="s">
        <v>943</v>
      </c>
      <c r="E4" s="2" t="s">
        <v>115</v>
      </c>
    </row>
    <row r="5" spans="1:5" s="2" customFormat="1" ht="12.75" customHeight="1">
      <c r="A5" s="2" t="s">
        <v>944</v>
      </c>
      <c r="B5" s="2" t="s">
        <v>945</v>
      </c>
      <c r="C5" s="2" t="s">
        <v>124</v>
      </c>
      <c r="D5" s="2" t="s">
        <v>946</v>
      </c>
      <c r="E5" s="2" t="s">
        <v>115</v>
      </c>
    </row>
    <row r="6" spans="1:5" s="2" customFormat="1" ht="12.75" customHeight="1">
      <c r="A6" s="2" t="s">
        <v>832</v>
      </c>
      <c r="B6" s="2" t="s">
        <v>947</v>
      </c>
      <c r="C6" s="2" t="s">
        <v>124</v>
      </c>
      <c r="D6" s="2" t="s">
        <v>948</v>
      </c>
      <c r="E6" s="2" t="s">
        <v>115</v>
      </c>
    </row>
    <row r="7" spans="1:5" s="2" customFormat="1" ht="12.75" customHeight="1">
      <c r="A7" s="2" t="s">
        <v>831</v>
      </c>
      <c r="B7" s="2" t="s">
        <v>949</v>
      </c>
      <c r="C7" s="2" t="s">
        <v>124</v>
      </c>
      <c r="D7" s="2" t="s">
        <v>950</v>
      </c>
      <c r="E7" s="2" t="s">
        <v>115</v>
      </c>
    </row>
    <row r="8" spans="1:5" s="2" customFormat="1" ht="12.75" customHeight="1">
      <c r="A8" s="2" t="s">
        <v>833</v>
      </c>
      <c r="B8" s="2" t="s">
        <v>951</v>
      </c>
      <c r="C8" s="2" t="s">
        <v>124</v>
      </c>
      <c r="D8" s="2" t="s">
        <v>952</v>
      </c>
      <c r="E8" s="2" t="s">
        <v>115</v>
      </c>
    </row>
    <row r="9" spans="1:5" s="2" customFormat="1" ht="12.75" customHeight="1">
      <c r="A9" s="2" t="s">
        <v>862</v>
      </c>
      <c r="B9" s="2" t="s">
        <v>953</v>
      </c>
      <c r="C9" s="2" t="s">
        <v>124</v>
      </c>
      <c r="D9" s="2" t="s">
        <v>954</v>
      </c>
      <c r="E9" s="2" t="s">
        <v>115</v>
      </c>
    </row>
    <row r="10" spans="1:5" s="2" customFormat="1" ht="12.75" customHeight="1">
      <c r="A10" s="2" t="s">
        <v>859</v>
      </c>
      <c r="B10" s="2" t="s">
        <v>955</v>
      </c>
      <c r="C10" s="2" t="s">
        <v>124</v>
      </c>
      <c r="D10" s="2" t="s">
        <v>956</v>
      </c>
      <c r="E10" s="2" t="s">
        <v>115</v>
      </c>
    </row>
    <row r="11" spans="1:5" s="2" customFormat="1" ht="12.75" customHeight="1">
      <c r="A11" s="2" t="s">
        <v>860</v>
      </c>
      <c r="B11" s="2" t="s">
        <v>957</v>
      </c>
      <c r="C11" s="2" t="s">
        <v>124</v>
      </c>
      <c r="D11" s="2" t="s">
        <v>958</v>
      </c>
      <c r="E11" s="2" t="s">
        <v>115</v>
      </c>
    </row>
    <row r="12" spans="1:5" s="2" customFormat="1" ht="12.75" customHeight="1">
      <c r="A12" s="2" t="s">
        <v>861</v>
      </c>
      <c r="B12" s="2" t="s">
        <v>959</v>
      </c>
      <c r="C12" s="2" t="s">
        <v>124</v>
      </c>
      <c r="D12" s="2" t="s">
        <v>960</v>
      </c>
      <c r="E12" s="2" t="s">
        <v>115</v>
      </c>
    </row>
    <row r="13" spans="1:5" s="2" customFormat="1" ht="12.75" customHeight="1">
      <c r="A13" s="2" t="s">
        <v>961</v>
      </c>
      <c r="B13" s="2" t="s">
        <v>962</v>
      </c>
      <c r="C13" s="2" t="s">
        <v>124</v>
      </c>
      <c r="D13" s="2" t="s">
        <v>963</v>
      </c>
      <c r="E13" s="2" t="s">
        <v>115</v>
      </c>
    </row>
    <row r="14" spans="1:5" s="2" customFormat="1" ht="12.75" customHeight="1">
      <c r="A14" s="2" t="s">
        <v>964</v>
      </c>
      <c r="B14" s="2" t="s">
        <v>965</v>
      </c>
      <c r="C14" s="2" t="s">
        <v>124</v>
      </c>
      <c r="D14" s="2" t="s">
        <v>966</v>
      </c>
      <c r="E14" s="2" t="s">
        <v>115</v>
      </c>
    </row>
    <row r="15" spans="1:5" s="2" customFormat="1" ht="12.75" customHeight="1">
      <c r="A15" s="2" t="s">
        <v>967</v>
      </c>
      <c r="B15" s="2" t="s">
        <v>968</v>
      </c>
      <c r="C15" s="2" t="s">
        <v>124</v>
      </c>
      <c r="D15" s="2" t="s">
        <v>115</v>
      </c>
      <c r="E15" s="2" t="s">
        <v>115</v>
      </c>
    </row>
    <row r="16" spans="1:5" s="2" customFormat="1" ht="12.75" customHeight="1">
      <c r="A16" s="2" t="s">
        <v>969</v>
      </c>
      <c r="B16" s="2" t="s">
        <v>970</v>
      </c>
      <c r="C16" s="2" t="s">
        <v>124</v>
      </c>
      <c r="D16" s="2" t="s">
        <v>106</v>
      </c>
      <c r="E16" s="2" t="s">
        <v>115</v>
      </c>
    </row>
    <row r="17" spans="1:5" s="2" customFormat="1" ht="12.75" customHeight="1">
      <c r="A17" s="2" t="s">
        <v>971</v>
      </c>
      <c r="B17" s="2" t="s">
        <v>972</v>
      </c>
      <c r="C17" s="2" t="s">
        <v>124</v>
      </c>
      <c r="D17" s="2" t="s">
        <v>973</v>
      </c>
      <c r="E17" s="2" t="s">
        <v>115</v>
      </c>
    </row>
    <row r="18" spans="1:5" s="2" customFormat="1" ht="12.75" customHeight="1">
      <c r="A18" s="2" t="s">
        <v>974</v>
      </c>
      <c r="B18" s="2" t="s">
        <v>975</v>
      </c>
      <c r="C18" s="2" t="s">
        <v>124</v>
      </c>
      <c r="D18" s="2" t="s">
        <v>976</v>
      </c>
      <c r="E18" s="2" t="s">
        <v>115</v>
      </c>
    </row>
    <row r="19" spans="1:5" s="2" customFormat="1" ht="12.75" customHeight="1">
      <c r="A19" s="2" t="s">
        <v>977</v>
      </c>
      <c r="B19" s="2" t="s">
        <v>978</v>
      </c>
      <c r="C19" s="2" t="s">
        <v>124</v>
      </c>
      <c r="D19" s="2" t="s">
        <v>979</v>
      </c>
      <c r="E19" s="2" t="s">
        <v>115</v>
      </c>
    </row>
    <row r="20" spans="1:5" s="2" customFormat="1" ht="12.75" customHeight="1">
      <c r="A20" s="2" t="s">
        <v>980</v>
      </c>
      <c r="B20" s="2" t="s">
        <v>981</v>
      </c>
      <c r="C20" s="2" t="s">
        <v>124</v>
      </c>
      <c r="D20" s="2" t="s">
        <v>982</v>
      </c>
      <c r="E20" s="2" t="s">
        <v>115</v>
      </c>
    </row>
    <row r="21" spans="1:5" s="2" customFormat="1" ht="12.75" customHeight="1">
      <c r="A21" s="2" t="s">
        <v>983</v>
      </c>
      <c r="B21" s="2" t="s">
        <v>984</v>
      </c>
      <c r="C21" s="2" t="s">
        <v>124</v>
      </c>
      <c r="D21" s="2" t="s">
        <v>985</v>
      </c>
      <c r="E21" s="2" t="s">
        <v>115</v>
      </c>
    </row>
    <row r="22" spans="1:5" s="2" customFormat="1" ht="12.75" customHeight="1">
      <c r="A22" s="2" t="s">
        <v>986</v>
      </c>
      <c r="B22" s="2" t="s">
        <v>987</v>
      </c>
      <c r="C22" s="2" t="s">
        <v>124</v>
      </c>
      <c r="D22" s="2" t="s">
        <v>988</v>
      </c>
      <c r="E22" s="2" t="s">
        <v>115</v>
      </c>
    </row>
    <row r="23" spans="1:5" s="2" customFormat="1" ht="12.75" customHeight="1">
      <c r="A23" s="2" t="s">
        <v>989</v>
      </c>
      <c r="B23" s="2" t="s">
        <v>990</v>
      </c>
      <c r="C23" s="2" t="s">
        <v>124</v>
      </c>
      <c r="D23" s="2" t="s">
        <v>991</v>
      </c>
      <c r="E23" s="2" t="s">
        <v>115</v>
      </c>
    </row>
    <row r="24" spans="1:5" s="2" customFormat="1" ht="12.75" customHeight="1">
      <c r="A24" s="2" t="s">
        <v>992</v>
      </c>
      <c r="B24" s="2" t="s">
        <v>993</v>
      </c>
      <c r="C24" s="2" t="s">
        <v>124</v>
      </c>
      <c r="D24" s="2" t="s">
        <v>994</v>
      </c>
      <c r="E24" s="2" t="s">
        <v>115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2015-06-28T21:53:55Z</cp:lastPrinted>
  <dcterms:created xsi:type="dcterms:W3CDTF">2015-01-20T08:28:01Z</dcterms:created>
  <dcterms:modified xsi:type="dcterms:W3CDTF">2015-06-28T22:13:53Z</dcterms:modified>
  <cp:category/>
  <cp:version/>
  <cp:contentType/>
  <cp:contentStatus/>
</cp:coreProperties>
</file>